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RI\UHF\Projekter igangværende\FØL støttede projekter\Økotyre (FØL)\Leveringer\ØkonomiModel\Web\"/>
    </mc:Choice>
  </mc:AlternateContent>
  <xr:revisionPtr revIDLastSave="0" documentId="13_ncr:1_{84C2BC35-30C9-4ADF-8B24-1F4ABC6426C3}" xr6:coauthVersionLast="41" xr6:coauthVersionMax="41" xr10:uidLastSave="{00000000-0000-0000-0000-000000000000}"/>
  <bookViews>
    <workbookView xWindow="-120" yWindow="-120" windowWidth="25440" windowHeight="15390" xr2:uid="{5F087417-D997-4F25-B4E9-A80602A564B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" i="1" l="1"/>
  <c r="A100" i="1"/>
  <c r="A102" i="1"/>
  <c r="A103" i="1"/>
  <c r="A104" i="1"/>
  <c r="A105" i="1"/>
  <c r="A106" i="1"/>
  <c r="F92" i="1"/>
  <c r="G92" i="1" s="1"/>
  <c r="H92" i="1" s="1"/>
  <c r="I92" i="1" s="1"/>
  <c r="J92" i="1" s="1"/>
  <c r="K92" i="1" s="1"/>
  <c r="L92" i="1" s="1"/>
  <c r="M92" i="1" s="1"/>
  <c r="F91" i="1"/>
  <c r="G91" i="1" s="1"/>
  <c r="H91" i="1" s="1"/>
  <c r="I91" i="1" s="1"/>
  <c r="J91" i="1" s="1"/>
  <c r="K91" i="1" s="1"/>
  <c r="L91" i="1" s="1"/>
  <c r="M91" i="1" s="1"/>
  <c r="F68" i="1"/>
  <c r="G68" i="1" s="1"/>
  <c r="H68" i="1" s="1"/>
  <c r="I68" i="1" s="1"/>
  <c r="J68" i="1" s="1"/>
  <c r="K68" i="1" s="1"/>
  <c r="L68" i="1" s="1"/>
  <c r="M68" i="1" s="1"/>
  <c r="F67" i="1"/>
  <c r="G67" i="1" s="1"/>
  <c r="H67" i="1" s="1"/>
  <c r="I67" i="1" s="1"/>
  <c r="J67" i="1" s="1"/>
  <c r="K67" i="1" s="1"/>
  <c r="L67" i="1" s="1"/>
  <c r="M67" i="1" s="1"/>
  <c r="F96" i="1" l="1"/>
  <c r="G96" i="1"/>
  <c r="H96" i="1"/>
  <c r="I96" i="1"/>
  <c r="J96" i="1"/>
  <c r="K96" i="1"/>
  <c r="L96" i="1"/>
  <c r="M96" i="1"/>
  <c r="E96" i="1"/>
  <c r="C96" i="1"/>
  <c r="B96" i="1"/>
  <c r="B103" i="1"/>
  <c r="F72" i="1"/>
  <c r="G72" i="1"/>
  <c r="H72" i="1"/>
  <c r="I72" i="1"/>
  <c r="J72" i="1"/>
  <c r="K72" i="1"/>
  <c r="L72" i="1"/>
  <c r="M72" i="1"/>
  <c r="E72" i="1"/>
  <c r="B167" i="1"/>
  <c r="B168" i="1"/>
  <c r="A88" i="1"/>
  <c r="F86" i="1"/>
  <c r="F88" i="1" s="1"/>
  <c r="G86" i="1"/>
  <c r="G88" i="1" s="1"/>
  <c r="H86" i="1"/>
  <c r="H88" i="1" s="1"/>
  <c r="I86" i="1"/>
  <c r="I88" i="1" s="1"/>
  <c r="J86" i="1"/>
  <c r="J88" i="1" s="1"/>
  <c r="K86" i="1"/>
  <c r="K88" i="1" s="1"/>
  <c r="L86" i="1"/>
  <c r="L88" i="1" s="1"/>
  <c r="M86" i="1"/>
  <c r="M88" i="1" s="1"/>
  <c r="E86" i="1"/>
  <c r="E88" i="1" s="1"/>
  <c r="B205" i="1"/>
  <c r="F62" i="1"/>
  <c r="F64" i="1" s="1"/>
  <c r="F71" i="1" s="1"/>
  <c r="G62" i="1"/>
  <c r="G64" i="1" s="1"/>
  <c r="H62" i="1"/>
  <c r="H64" i="1" s="1"/>
  <c r="I62" i="1"/>
  <c r="I64" i="1" s="1"/>
  <c r="J62" i="1"/>
  <c r="J64" i="1" s="1"/>
  <c r="K62" i="1"/>
  <c r="K64" i="1" s="1"/>
  <c r="L62" i="1"/>
  <c r="L64" i="1" s="1"/>
  <c r="M62" i="1"/>
  <c r="M64" i="1" s="1"/>
  <c r="E62" i="1"/>
  <c r="E64" i="1" s="1"/>
  <c r="B204" i="1"/>
  <c r="B203" i="1"/>
  <c r="B202" i="1"/>
  <c r="B201" i="1"/>
  <c r="B200" i="1"/>
  <c r="B199" i="1"/>
  <c r="B198" i="1"/>
  <c r="B197" i="1"/>
  <c r="B196" i="1"/>
  <c r="B195" i="1"/>
  <c r="B194" i="1"/>
  <c r="B193" i="1"/>
  <c r="D192" i="1"/>
  <c r="D204" i="1" s="1"/>
  <c r="C192" i="1"/>
  <c r="C204" i="1" s="1"/>
  <c r="B192" i="1"/>
  <c r="D191" i="1"/>
  <c r="D203" i="1" s="1"/>
  <c r="C191" i="1"/>
  <c r="C203" i="1" s="1"/>
  <c r="B191" i="1"/>
  <c r="D190" i="1"/>
  <c r="D202" i="1" s="1"/>
  <c r="C190" i="1"/>
  <c r="C202" i="1" s="1"/>
  <c r="B190" i="1"/>
  <c r="D189" i="1"/>
  <c r="D201" i="1" s="1"/>
  <c r="C189" i="1"/>
  <c r="C201" i="1" s="1"/>
  <c r="B189" i="1"/>
  <c r="D188" i="1"/>
  <c r="D200" i="1" s="1"/>
  <c r="C188" i="1"/>
  <c r="C200" i="1" s="1"/>
  <c r="B188" i="1"/>
  <c r="D187" i="1"/>
  <c r="D199" i="1" s="1"/>
  <c r="C187" i="1"/>
  <c r="C199" i="1" s="1"/>
  <c r="B187" i="1"/>
  <c r="D186" i="1"/>
  <c r="D198" i="1" s="1"/>
  <c r="C186" i="1"/>
  <c r="C198" i="1" s="1"/>
  <c r="B186" i="1"/>
  <c r="D185" i="1"/>
  <c r="D197" i="1" s="1"/>
  <c r="C185" i="1"/>
  <c r="C197" i="1" s="1"/>
  <c r="B185" i="1"/>
  <c r="D184" i="1"/>
  <c r="D196" i="1" s="1"/>
  <c r="C184" i="1"/>
  <c r="C196" i="1" s="1"/>
  <c r="B184" i="1"/>
  <c r="D183" i="1"/>
  <c r="D195" i="1" s="1"/>
  <c r="C183" i="1"/>
  <c r="C195" i="1" s="1"/>
  <c r="B183" i="1"/>
  <c r="D182" i="1"/>
  <c r="D194" i="1" s="1"/>
  <c r="C182" i="1"/>
  <c r="C194" i="1" s="1"/>
  <c r="B182" i="1"/>
  <c r="D181" i="1"/>
  <c r="D193" i="1" s="1"/>
  <c r="D205" i="1" s="1"/>
  <c r="C181" i="1"/>
  <c r="C193" i="1" s="1"/>
  <c r="C205" i="1" s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A97" i="1"/>
  <c r="A96" i="1"/>
  <c r="A95" i="1"/>
  <c r="M94" i="1"/>
  <c r="L94" i="1"/>
  <c r="K94" i="1"/>
  <c r="J94" i="1"/>
  <c r="I94" i="1"/>
  <c r="H94" i="1"/>
  <c r="G94" i="1"/>
  <c r="F94" i="1"/>
  <c r="E94" i="1"/>
  <c r="A94" i="1"/>
  <c r="E93" i="1"/>
  <c r="A93" i="1"/>
  <c r="A92" i="1"/>
  <c r="F93" i="1"/>
  <c r="A91" i="1"/>
  <c r="A90" i="1"/>
  <c r="A89" i="1"/>
  <c r="M70" i="1"/>
  <c r="L70" i="1"/>
  <c r="K70" i="1"/>
  <c r="J70" i="1"/>
  <c r="I70" i="1"/>
  <c r="H70" i="1"/>
  <c r="G70" i="1"/>
  <c r="F70" i="1"/>
  <c r="E70" i="1"/>
  <c r="E69" i="1"/>
  <c r="F69" i="1"/>
  <c r="V48" i="1"/>
  <c r="V50" i="1" s="1"/>
  <c r="U48" i="1"/>
  <c r="U50" i="1" s="1"/>
  <c r="T48" i="1"/>
  <c r="T50" i="1" s="1"/>
  <c r="S48" i="1"/>
  <c r="S50" i="1" s="1"/>
  <c r="R48" i="1"/>
  <c r="R50" i="1" s="1"/>
  <c r="Q48" i="1"/>
  <c r="Q50" i="1" s="1"/>
  <c r="P48" i="1"/>
  <c r="P50" i="1" s="1"/>
  <c r="O48" i="1"/>
  <c r="O50" i="1" s="1"/>
  <c r="N48" i="1"/>
  <c r="N50" i="1" s="1"/>
  <c r="M48" i="1"/>
  <c r="M50" i="1" s="1"/>
  <c r="L48" i="1"/>
  <c r="L50" i="1" s="1"/>
  <c r="K48" i="1"/>
  <c r="K50" i="1" s="1"/>
  <c r="J48" i="1"/>
  <c r="J50" i="1" s="1"/>
  <c r="I48" i="1"/>
  <c r="I50" i="1" s="1"/>
  <c r="H48" i="1"/>
  <c r="H50" i="1" s="1"/>
  <c r="G48" i="1"/>
  <c r="G50" i="1" s="1"/>
  <c r="F48" i="1"/>
  <c r="F50" i="1" s="1"/>
  <c r="E48" i="1"/>
  <c r="E50" i="1" s="1"/>
  <c r="D48" i="1"/>
  <c r="C48" i="1"/>
  <c r="C50" i="1" s="1"/>
  <c r="A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32" i="1"/>
  <c r="M78" i="1" s="1"/>
  <c r="U32" i="1"/>
  <c r="T32" i="1"/>
  <c r="S32" i="1"/>
  <c r="S34" i="1" s="1"/>
  <c r="R32" i="1"/>
  <c r="R34" i="1" s="1"/>
  <c r="Q32" i="1"/>
  <c r="Q34" i="1" s="1"/>
  <c r="P32" i="1"/>
  <c r="G78" i="1" s="1"/>
  <c r="O32" i="1"/>
  <c r="F78" i="1" s="1"/>
  <c r="N32" i="1"/>
  <c r="N34" i="1" s="1"/>
  <c r="M32" i="1"/>
  <c r="M34" i="1" s="1"/>
  <c r="L32" i="1"/>
  <c r="L34" i="1" s="1"/>
  <c r="K32" i="1"/>
  <c r="K34" i="1" s="1"/>
  <c r="J32" i="1"/>
  <c r="J34" i="1" s="1"/>
  <c r="I32" i="1"/>
  <c r="I34" i="1" s="1"/>
  <c r="H32" i="1"/>
  <c r="H34" i="1" s="1"/>
  <c r="G32" i="1"/>
  <c r="G34" i="1" s="1"/>
  <c r="F32" i="1"/>
  <c r="F34" i="1" s="1"/>
  <c r="E32" i="1"/>
  <c r="E34" i="1" s="1"/>
  <c r="D32" i="1"/>
  <c r="D34" i="1" s="1"/>
  <c r="C32" i="1"/>
  <c r="C34" i="1" s="1"/>
  <c r="A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18" i="1"/>
  <c r="B10" i="1"/>
  <c r="B15" i="1" s="1"/>
  <c r="B16" i="1" s="1"/>
  <c r="H78" i="1" l="1"/>
  <c r="H80" i="1" s="1"/>
  <c r="L102" i="1"/>
  <c r="L104" i="1" s="1"/>
  <c r="I102" i="1"/>
  <c r="I104" i="1" s="1"/>
  <c r="M95" i="1"/>
  <c r="M102" i="1"/>
  <c r="M104" i="1" s="1"/>
  <c r="L78" i="1"/>
  <c r="L80" i="1" s="1"/>
  <c r="K102" i="1"/>
  <c r="K104" i="1" s="1"/>
  <c r="G102" i="1"/>
  <c r="G104" i="1" s="1"/>
  <c r="K78" i="1"/>
  <c r="K80" i="1" s="1"/>
  <c r="J102" i="1"/>
  <c r="J104" i="1" s="1"/>
  <c r="J78" i="1"/>
  <c r="J80" i="1" s="1"/>
  <c r="I78" i="1"/>
  <c r="I80" i="1" s="1"/>
  <c r="F102" i="1"/>
  <c r="F104" i="1" s="1"/>
  <c r="H102" i="1"/>
  <c r="H104" i="1" s="1"/>
  <c r="K73" i="1"/>
  <c r="L95" i="1"/>
  <c r="I73" i="1"/>
  <c r="K95" i="1"/>
  <c r="H73" i="1"/>
  <c r="J95" i="1"/>
  <c r="G73" i="1"/>
  <c r="I95" i="1"/>
  <c r="E71" i="1"/>
  <c r="E75" i="1" s="1"/>
  <c r="F79" i="1" s="1"/>
  <c r="F73" i="1"/>
  <c r="H95" i="1"/>
  <c r="M73" i="1"/>
  <c r="G95" i="1"/>
  <c r="J73" i="1"/>
  <c r="L73" i="1"/>
  <c r="E95" i="1"/>
  <c r="E99" i="1" s="1"/>
  <c r="F95" i="1"/>
  <c r="M97" i="1"/>
  <c r="F97" i="1"/>
  <c r="G97" i="1"/>
  <c r="M80" i="1"/>
  <c r="H97" i="1"/>
  <c r="I97" i="1"/>
  <c r="J97" i="1"/>
  <c r="K97" i="1"/>
  <c r="L97" i="1"/>
  <c r="G80" i="1"/>
  <c r="F80" i="1"/>
  <c r="G71" i="1"/>
  <c r="L71" i="1"/>
  <c r="K71" i="1"/>
  <c r="J71" i="1"/>
  <c r="H71" i="1"/>
  <c r="I71" i="1"/>
  <c r="M71" i="1"/>
  <c r="P49" i="1"/>
  <c r="V34" i="1"/>
  <c r="U51" i="1"/>
  <c r="G69" i="1"/>
  <c r="B19" i="1"/>
  <c r="D50" i="1"/>
  <c r="P51" i="1" s="1"/>
  <c r="U34" i="1"/>
  <c r="T34" i="1"/>
  <c r="O34" i="1"/>
  <c r="P34" i="1"/>
  <c r="P33" i="1"/>
  <c r="F103" i="1" l="1"/>
  <c r="F99" i="1"/>
  <c r="G103" i="1" s="1"/>
  <c r="G75" i="1"/>
  <c r="H79" i="1" s="1"/>
  <c r="F75" i="1"/>
  <c r="G79" i="1" s="1"/>
  <c r="H69" i="1"/>
  <c r="H75" i="1" s="1"/>
  <c r="I79" i="1" s="1"/>
  <c r="P35" i="1"/>
  <c r="G93" i="1"/>
  <c r="G99" i="1" s="1"/>
  <c r="H103" i="1" s="1"/>
  <c r="F100" i="1" l="1"/>
  <c r="F105" i="1" s="1"/>
  <c r="F107" i="1" s="1"/>
  <c r="F76" i="1"/>
  <c r="F81" i="1" s="1"/>
  <c r="F83" i="1" s="1"/>
  <c r="G76" i="1"/>
  <c r="G81" i="1" s="1"/>
  <c r="G83" i="1" s="1"/>
  <c r="I69" i="1"/>
  <c r="I75" i="1" s="1"/>
  <c r="J79" i="1" s="1"/>
  <c r="G100" i="1"/>
  <c r="H93" i="1"/>
  <c r="H99" i="1" s="1"/>
  <c r="I103" i="1" s="1"/>
  <c r="H76" i="1"/>
  <c r="H81" i="1" s="1"/>
  <c r="H83" i="1" s="1"/>
  <c r="F106" i="1" l="1"/>
  <c r="F82" i="1"/>
  <c r="G82" i="1" s="1"/>
  <c r="H82" i="1" s="1"/>
  <c r="G105" i="1"/>
  <c r="J69" i="1"/>
  <c r="J75" i="1" s="1"/>
  <c r="K79" i="1" s="1"/>
  <c r="I76" i="1"/>
  <c r="I81" i="1" s="1"/>
  <c r="I83" i="1" s="1"/>
  <c r="I93" i="1"/>
  <c r="I99" i="1" s="1"/>
  <c r="J103" i="1" s="1"/>
  <c r="H100" i="1"/>
  <c r="G106" i="1" l="1"/>
  <c r="G107" i="1"/>
  <c r="H105" i="1"/>
  <c r="H107" i="1" s="1"/>
  <c r="K69" i="1"/>
  <c r="K75" i="1" s="1"/>
  <c r="L79" i="1" s="1"/>
  <c r="I100" i="1"/>
  <c r="J93" i="1"/>
  <c r="J99" i="1" s="1"/>
  <c r="K103" i="1" s="1"/>
  <c r="I82" i="1"/>
  <c r="J76" i="1"/>
  <c r="J81" i="1" s="1"/>
  <c r="J83" i="1" s="1"/>
  <c r="I105" i="1" l="1"/>
  <c r="I107" i="1" s="1"/>
  <c r="H106" i="1"/>
  <c r="M69" i="1"/>
  <c r="M75" i="1" s="1"/>
  <c r="J82" i="1"/>
  <c r="J100" i="1"/>
  <c r="K93" i="1"/>
  <c r="K99" i="1" s="1"/>
  <c r="L103" i="1" s="1"/>
  <c r="K76" i="1"/>
  <c r="K81" i="1" s="1"/>
  <c r="K83" i="1" s="1"/>
  <c r="L69" i="1" l="1"/>
  <c r="L75" i="1" s="1"/>
  <c r="M79" i="1" s="1"/>
  <c r="I106" i="1"/>
  <c r="J105" i="1"/>
  <c r="K82" i="1"/>
  <c r="L93" i="1"/>
  <c r="L99" i="1" s="1"/>
  <c r="M103" i="1" s="1"/>
  <c r="M93" i="1"/>
  <c r="K100" i="1"/>
  <c r="L76" i="1" l="1"/>
  <c r="L81" i="1" s="1"/>
  <c r="L83" i="1" s="1"/>
  <c r="M76" i="1"/>
  <c r="M81" i="1" s="1"/>
  <c r="M83" i="1" s="1"/>
  <c r="J106" i="1"/>
  <c r="J107" i="1"/>
  <c r="K105" i="1"/>
  <c r="K107" i="1" s="1"/>
  <c r="M99" i="1"/>
  <c r="M100" i="1" s="1"/>
  <c r="M105" i="1" s="1"/>
  <c r="L100" i="1"/>
  <c r="L82" i="1" l="1"/>
  <c r="M82" i="1" s="1"/>
  <c r="K106" i="1"/>
  <c r="L105" i="1"/>
  <c r="L107" i="1" s="1"/>
  <c r="M107" i="1"/>
  <c r="L106" i="1" l="1"/>
  <c r="M106" i="1" s="1"/>
</calcChain>
</file>

<file path=xl/sharedStrings.xml><?xml version="1.0" encoding="utf-8"?>
<sst xmlns="http://schemas.openxmlformats.org/spreadsheetml/2006/main" count="131" uniqueCount="117">
  <si>
    <t>Kalvens fødselsdato</t>
  </si>
  <si>
    <t>Tidspunkt for alder i måneder</t>
  </si>
  <si>
    <t>Alder, måneder</t>
  </si>
  <si>
    <t>Forventet levendevægt, kg</t>
  </si>
  <si>
    <t xml:space="preserve">Slagteprocent </t>
  </si>
  <si>
    <t>Form</t>
  </si>
  <si>
    <t>Slagtevægt, kg</t>
  </si>
  <si>
    <t>Variabelt økologitillæg, kr./kg</t>
  </si>
  <si>
    <t>Resttillæg (1,30 kr. pr. kg i 2019)</t>
  </si>
  <si>
    <t xml:space="preserve">Kontrakttillæg, kr. kg </t>
  </si>
  <si>
    <t>Afregning</t>
  </si>
  <si>
    <t>Marginal foderomkostning, kr</t>
  </si>
  <si>
    <t>kr./FE</t>
  </si>
  <si>
    <t xml:space="preserve">Forrentning, kr. </t>
  </si>
  <si>
    <t>rentesats</t>
  </si>
  <si>
    <t>15 pct. af foderomkostninger</t>
  </si>
  <si>
    <t>Marginal restbeløb pr. foderdag</t>
  </si>
  <si>
    <t>Dato</t>
  </si>
  <si>
    <t>Variabelt tillæg</t>
  </si>
  <si>
    <t>Kontrakttillæg</t>
  </si>
  <si>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</si>
  <si>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</si>
  <si>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</si>
  <si>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</si>
  <si>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</si>
  <si>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</si>
  <si>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</si>
  <si>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</si>
  <si>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</si>
  <si>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</si>
  <si>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</si>
  <si>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</si>
  <si>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</si>
  <si>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</si>
  <si>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</si>
  <si>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</si>
  <si>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</si>
  <si>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</si>
  <si>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</si>
  <si>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</si>
  <si>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</si>
  <si>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</si>
  <si>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</si>
  <si>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</si>
  <si>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</si>
  <si>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</si>
  <si>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</si>
  <si>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Uge 28</t>
  </si>
  <si>
    <t>Uge 29</t>
  </si>
  <si>
    <t>Uge 30</t>
  </si>
  <si>
    <t>Uge 31</t>
  </si>
  <si>
    <t>Uge 32</t>
  </si>
  <si>
    <t>Uge 33</t>
  </si>
  <si>
    <t>Uge 34</t>
  </si>
  <si>
    <t>Uge 35</t>
  </si>
  <si>
    <t>Uge 36</t>
  </si>
  <si>
    <t>Uge 37</t>
  </si>
  <si>
    <t>Uge 38</t>
  </si>
  <si>
    <t>Uge 39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</si>
  <si>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</si>
  <si>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</si>
  <si>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</si>
  <si>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</si>
  <si>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</si>
  <si>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</si>
  <si>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</si>
  <si>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</si>
  <si>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</si>
  <si>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</si>
  <si>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</si>
  <si>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</si>
  <si>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</si>
  <si>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Ungtyre - foderforbrug pr. kg tilvækst</t>
  </si>
  <si>
    <r>
      <t>FE/kg tilvækst = 2,17 x e</t>
    </r>
    <r>
      <rPr>
        <vertAlign val="superscript"/>
        <sz val="10"/>
        <rFont val="Arial"/>
        <family val="2"/>
      </rPr>
      <t>(faktor x V)</t>
    </r>
    <r>
      <rPr>
        <sz val="9"/>
        <color theme="1"/>
        <rFont val="Arial"/>
        <family val="2"/>
      </rPr>
      <t xml:space="preserve"> x (1,62 -5,79 x I + 6,13 x I</t>
    </r>
    <r>
      <rPr>
        <vertAlign val="superscript"/>
        <sz val="10"/>
        <rFont val="Arial"/>
        <family val="2"/>
      </rPr>
      <t>2</t>
    </r>
    <r>
      <rPr>
        <sz val="9"/>
        <color theme="1"/>
        <rFont val="Arial"/>
        <family val="2"/>
      </rPr>
      <t xml:space="preserve"> - 1,96 x 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</si>
  <si>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Faktor</t>
  </si>
  <si>
    <t>for Cha, Sim, Bbk</t>
  </si>
  <si>
    <t>for BLA</t>
  </si>
  <si>
    <t>for tung race, PIE, Lim, Ang, Her</t>
  </si>
  <si>
    <t>Vægt (V)</t>
  </si>
  <si>
    <t>Intensitet (I)</t>
  </si>
  <si>
    <t>Funktionen gælder for intensiteter på 50 % og derover</t>
  </si>
  <si>
    <t>Fodereffektivitet</t>
  </si>
  <si>
    <t>Faktor x V</t>
  </si>
  <si>
    <t>e</t>
  </si>
  <si>
    <t>Konstant</t>
  </si>
  <si>
    <t>Intensitet</t>
  </si>
  <si>
    <t>FE/kg tilvækst</t>
  </si>
  <si>
    <t>Lav tilvækst (800 g)</t>
  </si>
  <si>
    <t>80 % intensitet, 100 % foderudnyttelse</t>
  </si>
  <si>
    <t>Vægt</t>
  </si>
  <si>
    <t>FE/kg tilvækst, tung race</t>
  </si>
  <si>
    <t>FE/dag</t>
  </si>
  <si>
    <t>Marginal foderforbrug</t>
  </si>
  <si>
    <t>80 % intensitet, 90% foderudnyttelse</t>
  </si>
  <si>
    <t>Korrektion, høj andel grovfoder</t>
  </si>
  <si>
    <t xml:space="preserve">Høj tilvækst (1.140 g) </t>
  </si>
  <si>
    <t>100 % intensitet og foderudnyttelse</t>
  </si>
  <si>
    <t>100% intensitet, 90% foderudnyttelse</t>
  </si>
  <si>
    <t>kr./kg</t>
  </si>
  <si>
    <t>DC-notering inkl. 0,80 kr. efterbetaling</t>
  </si>
  <si>
    <t xml:space="preserve">Der er anvendt samme DC-notering i hele perioden - forskellen mellem vægtgrupperne og høj og lav tilvækst, skyldes forskel i slagteprocent, klassificering form og slagtevægt. </t>
  </si>
  <si>
    <t>Div. omkostninger</t>
  </si>
  <si>
    <t>Forskel i afregning</t>
  </si>
  <si>
    <t>Indtast i de grønne felter: Kalvens fødselsdato, resttillæg, foderomkostninger og forrentning</t>
  </si>
  <si>
    <t>Kalvens fødselsdato samt indtastningerne resttillæg og forrentning i tabel 1 går igen i tabel 2. Indtast foderomkostninger i tabel 2 ved model for estimat for høj tilvækst.</t>
  </si>
  <si>
    <t xml:space="preserve">Der er lavet et estimat for lav tilvækst på ca. 800 g. daglig tilvækst (tabel 1) og høj tilvækst på 1100 g. daglig tilvækst (tabel 2).  </t>
  </si>
  <si>
    <t>Lav tilvækst, tung race (ca. 800 g dagligt)</t>
  </si>
  <si>
    <t>Høj tilvækst, tung race (ca. 1100 g daglig tilvækst)</t>
  </si>
  <si>
    <t>Tabel 1: Lav tilvækst</t>
  </si>
  <si>
    <t>Tabel 2: Høj tivækst</t>
  </si>
  <si>
    <t>Graf over øget restbeløb fra 400 kg. ved slagtning i forskellige måneder</t>
  </si>
  <si>
    <t>Når du ændrer på forudsætningerne i de grønne felter til venstre, kan du her se hvordan restbeløbet ændrer sig.</t>
  </si>
  <si>
    <t>Denne økonomi-model er lavet i projektet "Øget produktion af øko-ungtyre af malkekvægsrace" støttet af Fonden for Økologisk Landbrug</t>
  </si>
  <si>
    <t>Øget restbeløb fra 400 kg levende vægt (ekskl. strøelse)</t>
  </si>
  <si>
    <t>Marginal restbeløb pr. 25 kg ekstra levende vægt (ekskl. strøelse)</t>
  </si>
  <si>
    <t xml:space="preserve">2019 er anvendt som reference for det variable økologitillæg, kontrakttillæg og resttillæg fra Friland A/S - det er kun vejledende, idet tillægene fremover vil afhænge af markedsforholdene i pågældende år.   </t>
  </si>
  <si>
    <t>Her kan du lave et estimat for, hvornår det bedst kan betale sig at slagte dine økologiske ungtyre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</si>
</sst>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k_r_._-;\-* #,##0.00\ _k_r_._-;_-* &quot;-&quot;??\ _k_r_._-;_-@_-"/>
    <numFmt numFmtId="164" formatCode="[$-406]mmmmm/yy;@"/>
    <numFmt numFmtId="165" formatCode="[$-406]mmmm\ yy;@"/>
    <numFmt numFmtId="166" formatCode="0.0%"/>
    <numFmt numFmtId="167" formatCode="0.0"/>
    <numFmt numFmtId="168" formatCode="_(* #,##0_);_(* \(#,##0\);_(* &quot;-&quot;??_);_(@_)"/>
    <numFmt numFmtId="169" formatCode="_-* #,##0\ _k_r_._-;\-* #,##0\ _k_r_._-;_-* &quot;-&quot;??\ _k_r_._-;_-@_-"/>
    <numFmt numFmtId="170" formatCode="#,##0_ ;\-#,##0\ "/>
  </numFmts>
  <fonts count="16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1" fontId="0" fillId="0" borderId="0" xfId="0" applyNumberFormat="1"/>
    <xf numFmtId="164" fontId="0" fillId="0" borderId="0" xfId="0" applyNumberFormat="1" applyFill="1" applyBorder="1"/>
    <xf numFmtId="14" fontId="5" fillId="0" borderId="0" xfId="0" applyNumberFormat="1" applyFont="1" applyFill="1" applyBorder="1"/>
    <xf numFmtId="0" fontId="4" fillId="0" borderId="0" xfId="0" applyFont="1"/>
    <xf numFmtId="0" fontId="3" fillId="3" borderId="0" xfId="0" applyFont="1" applyFill="1"/>
    <xf numFmtId="166" fontId="0" fillId="0" borderId="0" xfId="2" applyNumberFormat="1" applyFont="1"/>
    <xf numFmtId="2" fontId="0" fillId="0" borderId="0" xfId="0" applyNumberFormat="1"/>
    <xf numFmtId="167" fontId="0" fillId="0" borderId="0" xfId="0" applyNumberFormat="1"/>
    <xf numFmtId="2" fontId="4" fillId="0" borderId="0" xfId="0" applyNumberFormat="1" applyFont="1"/>
    <xf numFmtId="0" fontId="0" fillId="0" borderId="0" xfId="0" applyFill="1"/>
    <xf numFmtId="2" fontId="0" fillId="0" borderId="0" xfId="0" applyNumberFormat="1" applyFill="1"/>
    <xf numFmtId="14" fontId="0" fillId="0" borderId="0" xfId="0" applyNumberFormat="1"/>
    <xf numFmtId="43" fontId="0" fillId="0" borderId="0" xfId="1" applyFont="1"/>
    <xf numFmtId="165" fontId="0" fillId="0" borderId="0" xfId="0" applyNumberForma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/>
    <xf numFmtId="0" fontId="0" fillId="4" borderId="0" xfId="0" applyFill="1"/>
    <xf numFmtId="0" fontId="0" fillId="0" borderId="0" xfId="0" applyAlignment="1">
      <alignment horizontal="left"/>
    </xf>
    <xf numFmtId="0" fontId="0" fillId="3" borderId="0" xfId="0" applyFill="1"/>
    <xf numFmtId="9" fontId="0" fillId="3" borderId="0" xfId="2" applyFont="1" applyFill="1"/>
    <xf numFmtId="2" fontId="0" fillId="5" borderId="0" xfId="0" applyNumberFormat="1" applyFill="1"/>
    <xf numFmtId="167" fontId="0" fillId="5" borderId="0" xfId="0" applyNumberFormat="1" applyFill="1"/>
    <xf numFmtId="0" fontId="4" fillId="4" borderId="0" xfId="0" applyFont="1" applyFill="1"/>
    <xf numFmtId="2" fontId="0" fillId="6" borderId="0" xfId="0" applyNumberFormat="1" applyFill="1"/>
    <xf numFmtId="0" fontId="8" fillId="3" borderId="0" xfId="0" applyFont="1" applyFill="1"/>
    <xf numFmtId="2" fontId="9" fillId="0" borderId="0" xfId="0" applyNumberFormat="1" applyFont="1"/>
    <xf numFmtId="0" fontId="0" fillId="6" borderId="0" xfId="0" applyFill="1"/>
    <xf numFmtId="0" fontId="3" fillId="2" borderId="0" xfId="0" applyFont="1" applyFill="1"/>
    <xf numFmtId="0" fontId="8" fillId="2" borderId="0" xfId="0" applyFont="1" applyFill="1"/>
    <xf numFmtId="0" fontId="9" fillId="0" borderId="0" xfId="0" applyFont="1"/>
    <xf numFmtId="14" fontId="5" fillId="0" borderId="0" xfId="0" applyNumberFormat="1" applyFont="1" applyFill="1"/>
    <xf numFmtId="0" fontId="0" fillId="7" borderId="1" xfId="0" applyFill="1" applyBorder="1"/>
    <xf numFmtId="2" fontId="0" fillId="7" borderId="1" xfId="0" applyNumberFormat="1" applyFill="1" applyBorder="1"/>
    <xf numFmtId="165" fontId="5" fillId="7" borderId="1" xfId="0" applyNumberFormat="1" applyFont="1" applyFill="1" applyBorder="1"/>
    <xf numFmtId="1" fontId="0" fillId="7" borderId="1" xfId="0" applyNumberFormat="1" applyFill="1" applyBorder="1"/>
    <xf numFmtId="1" fontId="2" fillId="7" borderId="1" xfId="0" applyNumberFormat="1" applyFont="1" applyFill="1" applyBorder="1"/>
    <xf numFmtId="2" fontId="0" fillId="0" borderId="1" xfId="0" applyNumberFormat="1" applyBorder="1"/>
    <xf numFmtId="2" fontId="4" fillId="0" borderId="1" xfId="0" applyNumberFormat="1" applyFont="1" applyBorder="1"/>
    <xf numFmtId="0" fontId="0" fillId="0" borderId="1" xfId="0" applyBorder="1"/>
    <xf numFmtId="168" fontId="0" fillId="0" borderId="1" xfId="1" applyNumberFormat="1" applyFont="1" applyBorder="1"/>
    <xf numFmtId="1" fontId="0" fillId="0" borderId="1" xfId="0" applyNumberFormat="1" applyBorder="1"/>
    <xf numFmtId="0" fontId="0" fillId="8" borderId="1" xfId="0" applyFill="1" applyBorder="1"/>
    <xf numFmtId="2" fontId="0" fillId="8" borderId="1" xfId="0" applyNumberFormat="1" applyFill="1" applyBorder="1"/>
    <xf numFmtId="165" fontId="0" fillId="8" borderId="1" xfId="0" applyNumberFormat="1" applyFill="1" applyBorder="1"/>
    <xf numFmtId="1" fontId="2" fillId="8" borderId="1" xfId="0" applyNumberFormat="1" applyFont="1" applyFill="1" applyBorder="1"/>
    <xf numFmtId="1" fontId="0" fillId="8" borderId="1" xfId="0" applyNumberFormat="1" applyFill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3" xfId="0" applyFill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9" fontId="0" fillId="0" borderId="5" xfId="2" applyFont="1" applyBorder="1"/>
    <xf numFmtId="0" fontId="0" fillId="7" borderId="6" xfId="0" applyFill="1" applyBorder="1"/>
    <xf numFmtId="0" fontId="0" fillId="7" borderId="7" xfId="0" applyFill="1" applyBorder="1"/>
    <xf numFmtId="0" fontId="4" fillId="7" borderId="8" xfId="0" applyFont="1" applyFill="1" applyBorder="1"/>
    <xf numFmtId="165" fontId="5" fillId="7" borderId="9" xfId="0" applyNumberFormat="1" applyFont="1" applyFill="1" applyBorder="1"/>
    <xf numFmtId="0" fontId="0" fillId="7" borderId="8" xfId="0" applyFill="1" applyBorder="1"/>
    <xf numFmtId="2" fontId="0" fillId="7" borderId="9" xfId="0" applyNumberFormat="1" applyFill="1" applyBorder="1"/>
    <xf numFmtId="1" fontId="0" fillId="7" borderId="9" xfId="0" applyNumberFormat="1" applyFill="1" applyBorder="1"/>
    <xf numFmtId="0" fontId="4" fillId="0" borderId="8" xfId="0" applyFont="1" applyBorder="1"/>
    <xf numFmtId="2" fontId="0" fillId="0" borderId="9" xfId="0" applyNumberFormat="1" applyBorder="1"/>
    <xf numFmtId="0" fontId="4" fillId="0" borderId="10" xfId="0" applyFont="1" applyBorder="1"/>
    <xf numFmtId="0" fontId="0" fillId="0" borderId="8" xfId="0" applyBorder="1"/>
    <xf numFmtId="168" fontId="0" fillId="0" borderId="9" xfId="1" applyNumberFormat="1" applyFont="1" applyBorder="1"/>
    <xf numFmtId="1" fontId="0" fillId="0" borderId="9" xfId="0" applyNumberFormat="1" applyBorder="1"/>
    <xf numFmtId="0" fontId="0" fillId="7" borderId="11" xfId="0" applyFill="1" applyBorder="1"/>
    <xf numFmtId="0" fontId="0" fillId="7" borderId="4" xfId="0" applyFill="1" applyBorder="1"/>
    <xf numFmtId="1" fontId="0" fillId="7" borderId="4" xfId="0" applyNumberFormat="1" applyFill="1" applyBorder="1"/>
    <xf numFmtId="1" fontId="0" fillId="7" borderId="12" xfId="0" applyNumberFormat="1" applyFill="1" applyBorder="1"/>
    <xf numFmtId="169" fontId="12" fillId="7" borderId="14" xfId="1" applyNumberFormat="1" applyFont="1" applyFill="1" applyBorder="1"/>
    <xf numFmtId="170" fontId="12" fillId="7" borderId="14" xfId="1" applyNumberFormat="1" applyFont="1" applyFill="1" applyBorder="1"/>
    <xf numFmtId="170" fontId="12" fillId="7" borderId="15" xfId="1" applyNumberFormat="1" applyFont="1" applyFill="1" applyBorder="1"/>
    <xf numFmtId="0" fontId="4" fillId="7" borderId="16" xfId="0" applyFont="1" applyFill="1" applyBorder="1"/>
    <xf numFmtId="0" fontId="0" fillId="7" borderId="5" xfId="0" applyFill="1" applyBorder="1"/>
    <xf numFmtId="0" fontId="4" fillId="7" borderId="11" xfId="0" applyFont="1" applyFill="1" applyBorder="1"/>
    <xf numFmtId="0" fontId="0" fillId="7" borderId="4" xfId="0" applyNumberFormat="1" applyFill="1" applyBorder="1"/>
    <xf numFmtId="0" fontId="0" fillId="7" borderId="12" xfId="0" applyNumberFormat="1" applyFill="1" applyBorder="1"/>
    <xf numFmtId="166" fontId="0" fillId="7" borderId="5" xfId="0" applyNumberFormat="1" applyFill="1" applyBorder="1"/>
    <xf numFmtId="166" fontId="0" fillId="7" borderId="5" xfId="2" applyNumberFormat="1" applyFont="1" applyFill="1" applyBorder="1"/>
    <xf numFmtId="166" fontId="0" fillId="7" borderId="17" xfId="2" applyNumberFormat="1" applyFont="1" applyFill="1" applyBorder="1"/>
    <xf numFmtId="0" fontId="3" fillId="7" borderId="13" xfId="0" applyFont="1" applyFill="1" applyBorder="1"/>
    <xf numFmtId="0" fontId="3" fillId="7" borderId="14" xfId="0" applyFont="1" applyFill="1" applyBorder="1"/>
    <xf numFmtId="0" fontId="3" fillId="7" borderId="15" xfId="0" applyFont="1" applyFill="1" applyBorder="1"/>
    <xf numFmtId="0" fontId="0" fillId="8" borderId="5" xfId="0" applyFill="1" applyBorder="1"/>
    <xf numFmtId="2" fontId="0" fillId="8" borderId="5" xfId="0" applyNumberFormat="1" applyFill="1" applyBorder="1"/>
    <xf numFmtId="2" fontId="0" fillId="8" borderId="6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4" fillId="8" borderId="16" xfId="0" applyFont="1" applyFill="1" applyBorder="1"/>
    <xf numFmtId="165" fontId="0" fillId="8" borderId="9" xfId="0" applyNumberFormat="1" applyFill="1" applyBorder="1"/>
    <xf numFmtId="0" fontId="4" fillId="8" borderId="8" xfId="0" applyFont="1" applyFill="1" applyBorder="1"/>
    <xf numFmtId="2" fontId="0" fillId="8" borderId="9" xfId="0" applyNumberFormat="1" applyFill="1" applyBorder="1"/>
    <xf numFmtId="1" fontId="0" fillId="8" borderId="9" xfId="0" applyNumberFormat="1" applyFill="1" applyBorder="1"/>
    <xf numFmtId="2" fontId="0" fillId="7" borderId="5" xfId="0" applyNumberFormat="1" applyFill="1" applyBorder="1"/>
    <xf numFmtId="0" fontId="0" fillId="7" borderId="21" xfId="0" applyFill="1" applyBorder="1"/>
    <xf numFmtId="0" fontId="4" fillId="8" borderId="11" xfId="0" applyFont="1" applyFill="1" applyBorder="1"/>
    <xf numFmtId="0" fontId="0" fillId="8" borderId="4" xfId="0" applyFill="1" applyBorder="1"/>
    <xf numFmtId="2" fontId="0" fillId="8" borderId="4" xfId="0" applyNumberFormat="1" applyFill="1" applyBorder="1"/>
    <xf numFmtId="1" fontId="0" fillId="8" borderId="4" xfId="0" applyNumberFormat="1" applyFill="1" applyBorder="1"/>
    <xf numFmtId="1" fontId="0" fillId="8" borderId="12" xfId="0" applyNumberFormat="1" applyFill="1" applyBorder="1"/>
    <xf numFmtId="0" fontId="0" fillId="8" borderId="14" xfId="0" applyFill="1" applyBorder="1"/>
    <xf numFmtId="2" fontId="0" fillId="8" borderId="14" xfId="0" applyNumberFormat="1" applyFill="1" applyBorder="1"/>
    <xf numFmtId="3" fontId="0" fillId="8" borderId="14" xfId="0" applyNumberFormat="1" applyFill="1" applyBorder="1"/>
    <xf numFmtId="3" fontId="12" fillId="8" borderId="14" xfId="1" applyNumberFormat="1" applyFont="1" applyFill="1" applyBorder="1"/>
    <xf numFmtId="3" fontId="12" fillId="8" borderId="15" xfId="1" applyNumberFormat="1" applyFont="1" applyFill="1" applyBorder="1"/>
    <xf numFmtId="167" fontId="0" fillId="8" borderId="4" xfId="0" applyNumberFormat="1" applyFill="1" applyBorder="1"/>
    <xf numFmtId="167" fontId="0" fillId="8" borderId="12" xfId="0" applyNumberFormat="1" applyFill="1" applyBorder="1"/>
    <xf numFmtId="166" fontId="0" fillId="8" borderId="5" xfId="2" applyNumberFormat="1" applyFont="1" applyFill="1" applyBorder="1"/>
    <xf numFmtId="166" fontId="0" fillId="8" borderId="17" xfId="2" applyNumberFormat="1" applyFont="1" applyFill="1" applyBorder="1"/>
    <xf numFmtId="0" fontId="3" fillId="8" borderId="13" xfId="0" applyFont="1" applyFill="1" applyBorder="1"/>
    <xf numFmtId="1" fontId="3" fillId="8" borderId="14" xfId="0" applyNumberFormat="1" applyFont="1" applyFill="1" applyBorder="1"/>
    <xf numFmtId="1" fontId="3" fillId="8" borderId="15" xfId="0" applyNumberFormat="1" applyFont="1" applyFill="1" applyBorder="1"/>
    <xf numFmtId="169" fontId="3" fillId="7" borderId="13" xfId="1" applyNumberFormat="1" applyFont="1" applyFill="1" applyBorder="1" applyAlignment="1">
      <alignment horizontal="left"/>
    </xf>
    <xf numFmtId="43" fontId="3" fillId="8" borderId="13" xfId="1" applyFont="1" applyFill="1" applyBorder="1" applyAlignment="1">
      <alignment horizontal="left"/>
    </xf>
    <xf numFmtId="2" fontId="0" fillId="8" borderId="21" xfId="0" applyNumberFormat="1" applyFill="1" applyBorder="1"/>
    <xf numFmtId="0" fontId="14" fillId="7" borderId="6" xfId="0" applyFont="1" applyFill="1" applyBorder="1" applyAlignment="1"/>
    <xf numFmtId="0" fontId="3" fillId="9" borderId="0" xfId="0" applyFont="1" applyFill="1"/>
    <xf numFmtId="0" fontId="0" fillId="9" borderId="0" xfId="0" applyFill="1"/>
    <xf numFmtId="0" fontId="13" fillId="9" borderId="0" xfId="0" applyFont="1" applyFill="1" applyAlignment="1">
      <alignment horizontal="right"/>
    </xf>
    <xf numFmtId="14" fontId="4" fillId="10" borderId="2" xfId="0" applyNumberFormat="1" applyFont="1" applyFill="1" applyBorder="1"/>
    <xf numFmtId="2" fontId="0" fillId="10" borderId="2" xfId="0" applyNumberFormat="1" applyFill="1" applyBorder="1"/>
    <xf numFmtId="9" fontId="0" fillId="10" borderId="2" xfId="2" applyFont="1" applyFill="1" applyBorder="1"/>
    <xf numFmtId="0" fontId="0" fillId="11" borderId="0" xfId="0" applyFill="1"/>
    <xf numFmtId="2" fontId="0" fillId="11" borderId="0" xfId="0" applyNumberFormat="1" applyFill="1"/>
    <xf numFmtId="1" fontId="11" fillId="0" borderId="0" xfId="0" applyNumberFormat="1" applyFont="1" applyAlignment="1">
      <alignment horizontal="left"/>
    </xf>
    <xf numFmtId="1" fontId="0" fillId="11" borderId="0" xfId="0" applyNumberFormat="1" applyFill="1"/>
    <xf numFmtId="166" fontId="0" fillId="11" borderId="0" xfId="2" applyNumberFormat="1" applyFont="1" applyFill="1"/>
    <xf numFmtId="1" fontId="15" fillId="11" borderId="0" xfId="0" applyNumberFormat="1" applyFont="1" applyFill="1"/>
    <xf numFmtId="0" fontId="15" fillId="0" borderId="0" xfId="0" applyFont="1"/>
    <xf numFmtId="0" fontId="15" fillId="9" borderId="0" xfId="0" applyFont="1" applyFill="1"/>
    <xf numFmtId="0" fontId="15" fillId="11" borderId="0" xfId="0" applyFont="1" applyFill="1"/>
    <xf numFmtId="0" fontId="3" fillId="8" borderId="18" xfId="0" applyFont="1" applyFill="1" applyBorder="1"/>
    <xf numFmtId="0" fontId="3" fillId="8" borderId="20" xfId="0" applyFont="1" applyFill="1" applyBorder="1"/>
    <xf numFmtId="0" fontId="14" fillId="7" borderId="18" xfId="0" applyFont="1" applyFill="1" applyBorder="1" applyAlignment="1"/>
    <xf numFmtId="0" fontId="14" fillId="7" borderId="19" xfId="0" applyFont="1" applyFill="1" applyBorder="1" applyAlignment="1"/>
    <xf numFmtId="1" fontId="10" fillId="11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15" fillId="9" borderId="0" xfId="0" applyFont="1" applyFill="1"/>
    <xf numFmtId="0" fontId="0" fillId="9" borderId="0" xfId="0" applyFill="1"/>
    <xf numFmtId="0" fontId="11" fillId="9" borderId="0" xfId="0" applyFont="1" applyFill="1"/>
    <xf numFmtId="0" fontId="10" fillId="9" borderId="0" xfId="0" applyFont="1" applyFill="1"/>
    <xf numFmtId="0" fontId="3" fillId="9" borderId="0" xfId="0" applyFont="1" applyFill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Øget restbeløb fra 400 kg: </a:t>
            </a:r>
          </a:p>
          <a:p>
            <a:pPr>
              <a:defRPr/>
            </a:pPr>
            <a:r>
              <a:rPr lang="en-US"/>
              <a:t>Lav tilvækst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'Ark1'!$E$64:$M$64</c:f>
              <c:numCache>
                <c:formatCode>[$-406]mmmm\ yy;@</c:formatCode>
                <c:ptCount val="9"/>
                <c:pt idx="0">
                  <c:v>43993.16</c:v>
                </c:pt>
                <c:pt idx="1">
                  <c:v>44023.56</c:v>
                </c:pt>
                <c:pt idx="2">
                  <c:v>44053.96</c:v>
                </c:pt>
                <c:pt idx="3">
                  <c:v>44084.36</c:v>
                </c:pt>
                <c:pt idx="4">
                  <c:v>44114.76</c:v>
                </c:pt>
                <c:pt idx="5">
                  <c:v>44145.16</c:v>
                </c:pt>
                <c:pt idx="6">
                  <c:v>44209</c:v>
                </c:pt>
                <c:pt idx="7">
                  <c:v>44239.4</c:v>
                </c:pt>
                <c:pt idx="8">
                  <c:v>44269.8</c:v>
                </c:pt>
              </c:numCache>
            </c:numRef>
          </c:cat>
          <c:val>
            <c:numRef>
              <c:f>'Ark1'!$E$82:$M$82</c:f>
              <c:numCache>
                <c:formatCode>#,##0_ ;\-#,##0\ </c:formatCode>
                <c:ptCount val="9"/>
                <c:pt idx="1">
                  <c:v>981.81496079178191</c:v>
                </c:pt>
                <c:pt idx="2">
                  <c:v>999.72623175452145</c:v>
                </c:pt>
                <c:pt idx="3">
                  <c:v>699.83876151753577</c:v>
                </c:pt>
                <c:pt idx="4">
                  <c:v>864.62145925041273</c:v>
                </c:pt>
                <c:pt idx="5">
                  <c:v>849.10312165452331</c:v>
                </c:pt>
                <c:pt idx="6">
                  <c:v>800.61355887342711</c:v>
                </c:pt>
                <c:pt idx="7">
                  <c:v>744.63852081178311</c:v>
                </c:pt>
                <c:pt idx="8">
                  <c:v>597.82265572000506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1-43F0-A207-7342AC1C5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513992"/>
        <c:axId val="618514648"/>
      </c:lineChart>
      <c:dateAx>
        <c:axId val="618513992"/>
        <c:scaling>
          <c:orientation val="minMax"/>
        </c:scaling>
        <c:delete val="0"/>
        <c:axPos val="b"/>
        <c:numFmt formatCode="[$-406]m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4648"/>
        <c:crosses val="autoZero"/>
        <c:auto val="1"/>
        <c:lblOffset val="100"/>
        <c:baseTimeUnit val="months"/>
      </c:dateAx>
      <c:valAx>
        <c:axId val="6185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Øget restbeløb, kr./dyr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\ _k_r_._-;\-* #,##0\ _k_r_._-;_-* &quot;-&quot;??\ _k_r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Øget restbeløb fra 400 kg: </a:t>
            </a:r>
          </a:p>
          <a:p>
            <a:pPr>
              <a:defRPr/>
            </a:pPr>
            <a:r>
              <a:rPr lang="en-US"/>
              <a:t>Høj tilvækst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'Ark1'!$E$88:$M$88</c:f>
              <c:numCache>
                <c:formatCode>[$-406]mmmm\ yy;@</c:formatCode>
                <c:ptCount val="9"/>
                <c:pt idx="0">
                  <c:v>43883.72</c:v>
                </c:pt>
                <c:pt idx="1">
                  <c:v>43905</c:v>
                </c:pt>
                <c:pt idx="2">
                  <c:v>43926.28</c:v>
                </c:pt>
                <c:pt idx="3">
                  <c:v>43950.6</c:v>
                </c:pt>
                <c:pt idx="4">
                  <c:v>43977.96</c:v>
                </c:pt>
                <c:pt idx="5">
                  <c:v>44005.32</c:v>
                </c:pt>
                <c:pt idx="6">
                  <c:v>44029.64</c:v>
                </c:pt>
                <c:pt idx="7">
                  <c:v>44053.96</c:v>
                </c:pt>
                <c:pt idx="8">
                  <c:v>44081.32</c:v>
                </c:pt>
              </c:numCache>
            </c:numRef>
          </c:cat>
          <c:val>
            <c:numRef>
              <c:f>'Ark1'!$E$106:$M$106</c:f>
              <c:numCache>
                <c:formatCode>#,##0</c:formatCode>
                <c:ptCount val="9"/>
                <c:pt idx="1">
                  <c:v>125.25342938274071</c:v>
                </c:pt>
                <c:pt idx="2">
                  <c:v>729.71185161753544</c:v>
                </c:pt>
                <c:pt idx="3">
                  <c:v>761.12938818657756</c:v>
                </c:pt>
                <c:pt idx="4">
                  <c:v>1051.2072143167129</c:v>
                </c:pt>
                <c:pt idx="5">
                  <c:v>1116.3449534694548</c:v>
                </c:pt>
                <c:pt idx="6">
                  <c:v>1073.2160361930983</c:v>
                </c:pt>
                <c:pt idx="7">
                  <c:v>547.42858620625032</c:v>
                </c:pt>
                <c:pt idx="8">
                  <c:v>-217.28076298936526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F9-49E2-9EFB-488244144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513992"/>
        <c:axId val="618514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'Ark1'!$E$106:$M$106</c15:sqref>
                        </c15:formulaRef>
                      </c:ext>
                    </c:extLst>
                    <c:strCache>
                      <c:ptCount val="9"/>
                      <c:pt idx="0">
                        <c:v> 4.977 </c:v>
                      </c:pt>
                      <c:pt idx="1">
                        <c:v>125</c:v>
                      </c:pt>
                      <c:pt idx="2">
                        <c:v>730</c:v>
                      </c:pt>
                      <c:pt idx="3">
                        <c:v>761</c:v>
                      </c:pt>
                      <c:pt idx="4">
                        <c:v>1.051</c:v>
                      </c:pt>
                      <c:pt idx="5">
                        <c:v>1.116</c:v>
                      </c:pt>
                      <c:pt idx="6">
                        <c:v>1.073</c:v>
                      </c:pt>
                      <c:pt idx="7">
                        <c:v>547</c:v>
                      </c:pt>
                      <c:pt idx="8">
                        <c:v>-217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'Ark1'!$E$88:$M$88</c15:sqref>
                        </c15:formulaRef>
                      </c:ext>
                    </c:extLst>
                    <c:numCache>
                      <c:formatCode>[$-406]mmmm\ yy;@</c:formatCode>
                      <c:ptCount val="9"/>
                      <c:pt idx="0">
                        <c:v>43883.72</c:v>
                      </c:pt>
                      <c:pt idx="1">
                        <c:v>43905</c:v>
                      </c:pt>
                      <c:pt idx="2">
                        <c:v>43926.28</c:v>
                      </c:pt>
                      <c:pt idx="3">
                        <c:v>43950.6</c:v>
                      </c:pt>
                      <c:pt idx="4">
                        <c:v>43977.96</c:v>
                      </c:pt>
                      <c:pt idx="5">
                        <c:v>44005.32</c:v>
                      </c:pt>
                      <c:pt idx="6">
                        <c:v>44029.64</c:v>
                      </c:pt>
                      <c:pt idx="7">
                        <c:v>44053.96</c:v>
                      </c:pt>
                      <c:pt idx="8">
                        <c:v>44081.32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E5F9-49E2-9EFB-4882441440A1}"/>
                  </c:ext>
                </c:extLst>
              </c15:ser>
            </c15:filteredLineSeries>
          </c:ext>
        </c:extLst>
      </c:lineChart>
      <c:dateAx>
        <c:axId val="618513992"/>
        <c:scaling>
          <c:orientation val="minMax"/>
        </c:scaling>
        <c:delete val="0"/>
        <c:axPos val="b"/>
        <c:numFmt formatCode="[$-406]m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4648"/>
        <c:crosses val="autoZero"/>
        <c:auto val="1"/>
        <c:lblOffset val="100"/>
        <c:baseTimeUnit val="months"/>
      </c:dateAx>
      <c:valAx>
        <c:axId val="6185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Øget restbeløb, kr./dyr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62</xdr:row>
      <xdr:rowOff>19050</xdr:rowOff>
    </xdr:from>
    <xdr:to>
      <xdr:col>24</xdr:col>
      <xdr:colOff>0</xdr:colOff>
      <xdr:row>83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539FCC-71EA-4D41-BC4A-2C099F457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85</xdr:row>
      <xdr:rowOff>0</xdr:rowOff>
    </xdr:from>
    <xdr:to>
      <xdr:col>24</xdr:col>
      <xdr:colOff>9525</xdr:colOff>
      <xdr:row>107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FB23BB-D50A-4B6B-BB7C-645B474E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</xdr:colOff>
      <xdr:row>209</xdr:row>
      <xdr:rowOff>19239</xdr:rowOff>
    </xdr:from>
    <xdr:to>
      <xdr:col>5</xdr:col>
      <xdr:colOff>257175</xdr:colOff>
      <xdr:row>214</xdr:row>
      <xdr:rowOff>47624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BC685EE-B66F-4ADB-BEA5-85594880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4676" y="8582214"/>
          <a:ext cx="2257424" cy="7903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209</xdr:row>
      <xdr:rowOff>57150</xdr:rowOff>
    </xdr:from>
    <xdr:to>
      <xdr:col>1</xdr:col>
      <xdr:colOff>485775</xdr:colOff>
      <xdr:row>214</xdr:row>
      <xdr:rowOff>142875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707C8EAD-39C4-44C8-8AED-8CD83F2FD1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681" t="27835" r="12854" b="36261"/>
        <a:stretch/>
      </xdr:blipFill>
      <xdr:spPr>
        <a:xfrm>
          <a:off x="19050" y="8620125"/>
          <a:ext cx="26479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D99C-25B4-4C89-9188-A837D064EC6A}">
  <dimension ref="A1:Y208"/>
  <sheetViews>
    <sheetView tabSelected="1" topLeftCell="A52" zoomScale="85" zoomScaleNormal="85" workbookViewId="0">
      <selection activeCell="A52" sqref="A52:X215"/>
    </sheetView>
  </sheetViews>
  <sheetFormatPr defaultRowHeight="12" x14ac:dyDescent="0.2"/>
  <cols>
    <col min="1" max="1" width="32.7109375" customWidth="1"/>
    <col min="2" max="2" width="14" customWidth="1"/>
    <col min="5" max="13" width="11.7109375" customWidth="1"/>
  </cols>
  <sheetData>
    <row r="1" spans="1:3" ht="15.75" hidden="1" x14ac:dyDescent="0.25">
      <c r="A1" s="16" t="s">
        <v>72</v>
      </c>
    </row>
    <row r="2" spans="1:3" hidden="1" x14ac:dyDescent="0.2"/>
    <row r="3" spans="1:3" ht="14.25" hidden="1" x14ac:dyDescent="0.2">
      <c r="A3" s="17" t="s">
        <v>73</v>
      </c>
    </row>
    <row r="4" spans="1:3" hidden="1" x14ac:dyDescent="0.2">
      <c r="A4" s="18"/>
    </row>
    <row r="5" spans="1:3" hidden="1" x14ac:dyDescent="0.2"/>
    <row r="6" spans="1:3" hidden="1" x14ac:dyDescent="0.2">
      <c r="A6" t="s">
        <v>74</v>
      </c>
      <c r="B6" s="11">
        <v>2.15E-3</v>
      </c>
      <c r="C6" t="s">
        <v>75</v>
      </c>
    </row>
    <row r="7" spans="1:3" hidden="1" x14ac:dyDescent="0.2">
      <c r="B7" s="11">
        <v>2.2499999999999998E-3</v>
      </c>
      <c r="C7" t="s">
        <v>76</v>
      </c>
    </row>
    <row r="8" spans="1:3" hidden="1" x14ac:dyDescent="0.2">
      <c r="B8" s="19">
        <v>2.5600000000000002E-3</v>
      </c>
      <c r="C8" s="20" t="s">
        <v>77</v>
      </c>
    </row>
    <row r="9" spans="1:3" hidden="1" x14ac:dyDescent="0.2"/>
    <row r="10" spans="1:3" hidden="1" x14ac:dyDescent="0.2">
      <c r="A10" t="s">
        <v>74</v>
      </c>
      <c r="B10" s="19">
        <f>B8</f>
        <v>2.5600000000000002E-3</v>
      </c>
    </row>
    <row r="11" spans="1:3" hidden="1" x14ac:dyDescent="0.2">
      <c r="A11" t="s">
        <v>78</v>
      </c>
      <c r="B11" s="21">
        <v>575</v>
      </c>
    </row>
    <row r="12" spans="1:3" ht="12.75" hidden="1" x14ac:dyDescent="0.2">
      <c r="A12" t="s">
        <v>79</v>
      </c>
      <c r="B12" s="22">
        <v>1</v>
      </c>
      <c r="C12" s="5" t="s">
        <v>80</v>
      </c>
    </row>
    <row r="13" spans="1:3" ht="12.75" hidden="1" x14ac:dyDescent="0.2">
      <c r="A13" t="s">
        <v>81</v>
      </c>
      <c r="B13" s="22">
        <v>0.9</v>
      </c>
      <c r="C13" s="5"/>
    </row>
    <row r="14" spans="1:3" hidden="1" x14ac:dyDescent="0.2"/>
    <row r="15" spans="1:3" hidden="1" x14ac:dyDescent="0.2">
      <c r="A15" t="s">
        <v>82</v>
      </c>
      <c r="B15">
        <f>B10*B11</f>
        <v>1.4720000000000002</v>
      </c>
    </row>
    <row r="16" spans="1:3" hidden="1" x14ac:dyDescent="0.2">
      <c r="A16" t="s">
        <v>83</v>
      </c>
      <c r="B16">
        <f>EXP(B15)</f>
        <v>4.3579423156170298</v>
      </c>
    </row>
    <row r="17" spans="1:22" hidden="1" x14ac:dyDescent="0.2">
      <c r="A17" t="s">
        <v>84</v>
      </c>
      <c r="B17">
        <v>2.17</v>
      </c>
    </row>
    <row r="18" spans="1:22" ht="12.75" hidden="1" x14ac:dyDescent="0.2">
      <c r="A18" s="5" t="s">
        <v>85</v>
      </c>
      <c r="B18" s="5">
        <f>(1.62-5.79*B12+6.13*(B12*B12)-1.96*(B12*B12*B12))</f>
        <v>0</v>
      </c>
    </row>
    <row r="19" spans="1:22" hidden="1" x14ac:dyDescent="0.2">
      <c r="A19" t="s">
        <v>86</v>
      </c>
      <c r="B19" s="23">
        <f>(B16*B17+B18)/B13</f>
        <v>10.507483138765505</v>
      </c>
    </row>
    <row r="20" spans="1:22" hidden="1" x14ac:dyDescent="0.2">
      <c r="B20" s="24"/>
    </row>
    <row r="21" spans="1:22" ht="12.75" hidden="1" x14ac:dyDescent="0.2">
      <c r="A21" s="1" t="s">
        <v>87</v>
      </c>
      <c r="B21" s="24"/>
    </row>
    <row r="22" spans="1:22" ht="12.75" hidden="1" x14ac:dyDescent="0.2">
      <c r="A22" s="5" t="s">
        <v>88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22" ht="12.75" hidden="1" x14ac:dyDescent="0.2">
      <c r="A23" s="5" t="s">
        <v>89</v>
      </c>
      <c r="B23" s="21">
        <v>100</v>
      </c>
      <c r="C23" s="21">
        <v>125</v>
      </c>
      <c r="D23" s="21">
        <v>150</v>
      </c>
      <c r="E23" s="21">
        <v>175</v>
      </c>
      <c r="F23" s="21">
        <v>200</v>
      </c>
      <c r="G23" s="21">
        <v>225</v>
      </c>
      <c r="H23" s="21">
        <v>250</v>
      </c>
      <c r="I23" s="21">
        <v>275</v>
      </c>
      <c r="J23" s="21">
        <v>300</v>
      </c>
      <c r="K23" s="21">
        <v>325</v>
      </c>
      <c r="L23" s="21">
        <v>350</v>
      </c>
      <c r="M23" s="21">
        <v>375</v>
      </c>
      <c r="N23" s="21">
        <v>400</v>
      </c>
      <c r="O23" s="21">
        <v>425</v>
      </c>
      <c r="P23" s="21">
        <v>450</v>
      </c>
      <c r="Q23" s="21">
        <v>475</v>
      </c>
      <c r="R23" s="21">
        <v>500</v>
      </c>
      <c r="S23" s="21">
        <v>525</v>
      </c>
      <c r="T23" s="21">
        <v>550</v>
      </c>
      <c r="U23" s="21">
        <v>575</v>
      </c>
      <c r="V23" s="21">
        <v>600</v>
      </c>
    </row>
    <row r="24" spans="1:22" ht="12.75" hidden="1" x14ac:dyDescent="0.2">
      <c r="A24" s="25" t="s">
        <v>90</v>
      </c>
      <c r="B24" s="26">
        <v>2.71</v>
      </c>
      <c r="C24" s="26">
        <v>2.89</v>
      </c>
      <c r="D24" s="26">
        <v>3.09</v>
      </c>
      <c r="E24" s="26">
        <v>3.3</v>
      </c>
      <c r="F24" s="26">
        <v>3.53</v>
      </c>
      <c r="G24" s="26">
        <v>3.76</v>
      </c>
      <c r="H24" s="26">
        <v>4.0199999999999996</v>
      </c>
      <c r="I24" s="26">
        <v>4.29</v>
      </c>
      <c r="J24" s="26">
        <v>4.59</v>
      </c>
      <c r="K24" s="26">
        <v>4.8899999999999997</v>
      </c>
      <c r="L24" s="23">
        <v>5.22</v>
      </c>
      <c r="M24" s="23">
        <v>5.58</v>
      </c>
      <c r="N24" s="23">
        <v>5.95</v>
      </c>
      <c r="O24" s="23">
        <v>6.35</v>
      </c>
      <c r="P24" s="23">
        <v>6.77</v>
      </c>
      <c r="Q24" s="23">
        <v>7.23</v>
      </c>
      <c r="R24" s="23">
        <v>7.71</v>
      </c>
      <c r="S24" s="23">
        <v>8.23</v>
      </c>
      <c r="T24" s="23">
        <v>8.7799999999999994</v>
      </c>
      <c r="U24" s="23">
        <v>9.36</v>
      </c>
      <c r="V24" s="23">
        <v>9.99</v>
      </c>
    </row>
    <row r="25" spans="1:22" ht="12.75" hidden="1" x14ac:dyDescent="0.2">
      <c r="A25" s="5" t="s">
        <v>91</v>
      </c>
      <c r="B25" s="9">
        <f>B24*0.8</f>
        <v>2.1680000000000001</v>
      </c>
      <c r="C25" s="9">
        <f t="shared" ref="C25:V25" si="0">C24*0.8</f>
        <v>2.3120000000000003</v>
      </c>
      <c r="D25" s="9">
        <f t="shared" si="0"/>
        <v>2.472</v>
      </c>
      <c r="E25" s="9">
        <f t="shared" si="0"/>
        <v>2.64</v>
      </c>
      <c r="F25" s="9">
        <f t="shared" si="0"/>
        <v>2.8239999999999998</v>
      </c>
      <c r="G25" s="9">
        <f t="shared" si="0"/>
        <v>3.008</v>
      </c>
      <c r="H25" s="9">
        <f t="shared" si="0"/>
        <v>3.2159999999999997</v>
      </c>
      <c r="I25" s="9">
        <f t="shared" si="0"/>
        <v>3.4320000000000004</v>
      </c>
      <c r="J25" s="9">
        <f t="shared" si="0"/>
        <v>3.6720000000000002</v>
      </c>
      <c r="K25" s="9">
        <f t="shared" si="0"/>
        <v>3.9119999999999999</v>
      </c>
      <c r="L25" s="9">
        <f t="shared" si="0"/>
        <v>4.1760000000000002</v>
      </c>
      <c r="M25" s="9">
        <f t="shared" si="0"/>
        <v>4.4640000000000004</v>
      </c>
      <c r="N25" s="9">
        <f t="shared" si="0"/>
        <v>4.7600000000000007</v>
      </c>
      <c r="O25" s="9">
        <f t="shared" si="0"/>
        <v>5.08</v>
      </c>
      <c r="P25" s="9">
        <f t="shared" si="0"/>
        <v>5.4160000000000004</v>
      </c>
      <c r="Q25" s="9">
        <f t="shared" si="0"/>
        <v>5.7840000000000007</v>
      </c>
      <c r="R25" s="9">
        <f t="shared" si="0"/>
        <v>6.1680000000000001</v>
      </c>
      <c r="S25" s="9">
        <f t="shared" si="0"/>
        <v>6.5840000000000005</v>
      </c>
      <c r="T25" s="9">
        <f t="shared" si="0"/>
        <v>7.024</v>
      </c>
      <c r="U25" s="9">
        <f t="shared" si="0"/>
        <v>7.4879999999999995</v>
      </c>
      <c r="V25" s="9">
        <f t="shared" si="0"/>
        <v>7.9920000000000009</v>
      </c>
    </row>
    <row r="26" spans="1:22" ht="12.75" hidden="1" x14ac:dyDescent="0.2">
      <c r="A26" s="5" t="s">
        <v>92</v>
      </c>
      <c r="B26" s="9"/>
      <c r="C26" s="9">
        <f>(C23-B23)*((B24+C24))/2</f>
        <v>70</v>
      </c>
      <c r="D26" s="9">
        <f t="shared" ref="D26:V26" si="1">(D23-C23)*((C24+D24))/2</f>
        <v>74.75</v>
      </c>
      <c r="E26" s="9">
        <f t="shared" si="1"/>
        <v>79.875</v>
      </c>
      <c r="F26" s="9">
        <f t="shared" si="1"/>
        <v>85.375</v>
      </c>
      <c r="G26" s="9">
        <f t="shared" si="1"/>
        <v>91.124999999999986</v>
      </c>
      <c r="H26" s="9">
        <f t="shared" si="1"/>
        <v>97.249999999999986</v>
      </c>
      <c r="I26" s="9">
        <f t="shared" si="1"/>
        <v>103.87499999999999</v>
      </c>
      <c r="J26" s="9">
        <f t="shared" si="1"/>
        <v>110.99999999999999</v>
      </c>
      <c r="K26" s="9">
        <f t="shared" si="1"/>
        <v>118.5</v>
      </c>
      <c r="L26" s="9">
        <f t="shared" si="1"/>
        <v>126.375</v>
      </c>
      <c r="M26" s="9">
        <f t="shared" si="1"/>
        <v>135</v>
      </c>
      <c r="N26" s="9">
        <f t="shared" si="1"/>
        <v>144.125</v>
      </c>
      <c r="O26" s="9">
        <f t="shared" si="1"/>
        <v>153.75</v>
      </c>
      <c r="P26" s="9">
        <f t="shared" si="1"/>
        <v>164</v>
      </c>
      <c r="Q26" s="9">
        <f t="shared" si="1"/>
        <v>175</v>
      </c>
      <c r="R26" s="9">
        <f t="shared" si="1"/>
        <v>186.75000000000003</v>
      </c>
      <c r="S26" s="9">
        <f t="shared" si="1"/>
        <v>199.25000000000003</v>
      </c>
      <c r="T26" s="9">
        <f t="shared" si="1"/>
        <v>212.62499999999997</v>
      </c>
      <c r="U26" s="9">
        <f t="shared" si="1"/>
        <v>226.75</v>
      </c>
      <c r="V26" s="9">
        <f t="shared" si="1"/>
        <v>241.87500000000003</v>
      </c>
    </row>
    <row r="27" spans="1:22" ht="12.75" hidden="1" x14ac:dyDescent="0.2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 hidden="1" x14ac:dyDescent="0.2">
      <c r="A28" s="5" t="s">
        <v>93</v>
      </c>
    </row>
    <row r="29" spans="1:22" ht="12.75" hidden="1" x14ac:dyDescent="0.2">
      <c r="A29" t="s">
        <v>89</v>
      </c>
      <c r="B29" s="27">
        <v>104</v>
      </c>
      <c r="C29" s="6">
        <v>125</v>
      </c>
      <c r="D29" s="6">
        <v>150</v>
      </c>
      <c r="E29" s="6">
        <v>175</v>
      </c>
      <c r="F29" s="6">
        <v>200</v>
      </c>
      <c r="G29" s="6">
        <v>225</v>
      </c>
      <c r="H29" s="6">
        <v>250</v>
      </c>
      <c r="I29" s="6">
        <v>275</v>
      </c>
      <c r="J29" s="6">
        <v>300</v>
      </c>
      <c r="K29" s="6">
        <v>325</v>
      </c>
      <c r="L29" s="6">
        <v>350</v>
      </c>
      <c r="M29" s="6">
        <v>375</v>
      </c>
      <c r="N29" s="6">
        <v>400</v>
      </c>
      <c r="O29" s="6">
        <v>425</v>
      </c>
      <c r="P29" s="6">
        <v>450</v>
      </c>
      <c r="Q29" s="6">
        <v>475</v>
      </c>
      <c r="R29" s="6">
        <v>500</v>
      </c>
      <c r="S29" s="6">
        <v>525</v>
      </c>
      <c r="T29" s="6">
        <v>550</v>
      </c>
      <c r="U29" s="6">
        <v>575</v>
      </c>
      <c r="V29" s="6">
        <v>600</v>
      </c>
    </row>
    <row r="30" spans="1:22" ht="12.75" hidden="1" x14ac:dyDescent="0.2">
      <c r="A30" s="19" t="s">
        <v>90</v>
      </c>
      <c r="B30" s="28">
        <v>3.04</v>
      </c>
      <c r="C30" s="8">
        <v>3.22</v>
      </c>
      <c r="D30" s="8">
        <v>3.44</v>
      </c>
      <c r="E30" s="8">
        <v>3.67</v>
      </c>
      <c r="F30" s="8">
        <v>3.92</v>
      </c>
      <c r="G30" s="8">
        <v>4.1900000000000004</v>
      </c>
      <c r="H30" s="8">
        <v>4.47</v>
      </c>
      <c r="I30" s="8">
        <v>4.7699999999999996</v>
      </c>
      <c r="J30" s="8">
        <v>5.09</v>
      </c>
      <c r="K30" s="8">
        <v>5.44</v>
      </c>
      <c r="L30" s="8">
        <v>5.8</v>
      </c>
      <c r="M30" s="8">
        <v>6.19</v>
      </c>
      <c r="N30" s="8">
        <v>6.61</v>
      </c>
      <c r="O30" s="8">
        <v>7.05</v>
      </c>
      <c r="P30" s="10">
        <v>7.53</v>
      </c>
      <c r="Q30" s="8">
        <v>8.0299999999999994</v>
      </c>
      <c r="R30" s="8">
        <v>8.57</v>
      </c>
      <c r="S30" s="8">
        <v>9.14</v>
      </c>
      <c r="T30" s="8">
        <v>9.75</v>
      </c>
      <c r="U30" s="8">
        <v>10.4</v>
      </c>
      <c r="V30" s="8">
        <v>11.1</v>
      </c>
    </row>
    <row r="31" spans="1:22" hidden="1" x14ac:dyDescent="0.2">
      <c r="A31" t="str">
        <f>A25</f>
        <v>FE/dag</v>
      </c>
      <c r="B31" s="9">
        <f>B30*0.8</f>
        <v>2.4320000000000004</v>
      </c>
      <c r="C31" s="9">
        <f t="shared" ref="C31:V31" si="2">C30*0.8</f>
        <v>2.5760000000000005</v>
      </c>
      <c r="D31" s="9">
        <f t="shared" si="2"/>
        <v>2.7520000000000002</v>
      </c>
      <c r="E31" s="9">
        <f t="shared" si="2"/>
        <v>2.9359999999999999</v>
      </c>
      <c r="F31" s="9">
        <f t="shared" si="2"/>
        <v>3.1360000000000001</v>
      </c>
      <c r="G31" s="9">
        <f t="shared" si="2"/>
        <v>3.3520000000000003</v>
      </c>
      <c r="H31" s="9">
        <f t="shared" si="2"/>
        <v>3.5760000000000001</v>
      </c>
      <c r="I31" s="9">
        <f t="shared" si="2"/>
        <v>3.8159999999999998</v>
      </c>
      <c r="J31" s="9">
        <f t="shared" si="2"/>
        <v>4.0720000000000001</v>
      </c>
      <c r="K31" s="9">
        <f t="shared" si="2"/>
        <v>4.3520000000000003</v>
      </c>
      <c r="L31" s="9">
        <f t="shared" si="2"/>
        <v>4.6399999999999997</v>
      </c>
      <c r="M31" s="9">
        <f t="shared" si="2"/>
        <v>4.9520000000000008</v>
      </c>
      <c r="N31" s="9">
        <f t="shared" si="2"/>
        <v>5.2880000000000003</v>
      </c>
      <c r="O31" s="9">
        <f t="shared" si="2"/>
        <v>5.6400000000000006</v>
      </c>
      <c r="P31" s="9">
        <f t="shared" si="2"/>
        <v>6.0240000000000009</v>
      </c>
      <c r="Q31" s="9">
        <f t="shared" si="2"/>
        <v>6.4239999999999995</v>
      </c>
      <c r="R31" s="9">
        <f t="shared" si="2"/>
        <v>6.8560000000000008</v>
      </c>
      <c r="S31" s="9">
        <f t="shared" si="2"/>
        <v>7.3120000000000012</v>
      </c>
      <c r="T31" s="9">
        <f t="shared" si="2"/>
        <v>7.8000000000000007</v>
      </c>
      <c r="U31" s="9">
        <f t="shared" si="2"/>
        <v>8.32</v>
      </c>
      <c r="V31" s="9">
        <f t="shared" si="2"/>
        <v>8.8800000000000008</v>
      </c>
    </row>
    <row r="32" spans="1:22" hidden="1" x14ac:dyDescent="0.2">
      <c r="A32" t="str">
        <f>A26</f>
        <v>Marginal foderforbrug</v>
      </c>
      <c r="C32" s="2">
        <f>(C29-B29)*(B30+C30)/2</f>
        <v>65.73</v>
      </c>
      <c r="D32" s="2">
        <f t="shared" ref="D32:V32" si="3">(D29-C29)*(C30+D30)/2</f>
        <v>83.25</v>
      </c>
      <c r="E32" s="2">
        <f t="shared" si="3"/>
        <v>88.875</v>
      </c>
      <c r="F32" s="2">
        <f t="shared" si="3"/>
        <v>94.875</v>
      </c>
      <c r="G32" s="2">
        <f t="shared" si="3"/>
        <v>101.375</v>
      </c>
      <c r="H32" s="2">
        <f t="shared" si="3"/>
        <v>108.25</v>
      </c>
      <c r="I32" s="2">
        <f t="shared" si="3"/>
        <v>115.49999999999999</v>
      </c>
      <c r="J32" s="2">
        <f t="shared" si="3"/>
        <v>123.25</v>
      </c>
      <c r="K32" s="2">
        <f t="shared" si="3"/>
        <v>131.625</v>
      </c>
      <c r="L32" s="2">
        <f t="shared" si="3"/>
        <v>140.5</v>
      </c>
      <c r="M32" s="2">
        <f t="shared" si="3"/>
        <v>149.875</v>
      </c>
      <c r="N32" s="2">
        <f t="shared" si="3"/>
        <v>160</v>
      </c>
      <c r="O32" s="2">
        <f t="shared" si="3"/>
        <v>170.75</v>
      </c>
      <c r="P32" s="2">
        <f t="shared" si="3"/>
        <v>182.25</v>
      </c>
      <c r="Q32" s="2">
        <f t="shared" si="3"/>
        <v>194.49999999999997</v>
      </c>
      <c r="R32" s="2">
        <f t="shared" si="3"/>
        <v>207.50000000000003</v>
      </c>
      <c r="S32" s="2">
        <f t="shared" si="3"/>
        <v>221.375</v>
      </c>
      <c r="T32" s="2">
        <f t="shared" si="3"/>
        <v>236.125</v>
      </c>
      <c r="U32" s="2">
        <f t="shared" si="3"/>
        <v>251.87499999999997</v>
      </c>
      <c r="V32" s="2">
        <f t="shared" si="3"/>
        <v>268.75</v>
      </c>
    </row>
    <row r="33" spans="1:22" hidden="1" x14ac:dyDescent="0.2">
      <c r="P33" s="9">
        <f>SUM(C32:P32)</f>
        <v>1716.105</v>
      </c>
    </row>
    <row r="34" spans="1:22" hidden="1" x14ac:dyDescent="0.2">
      <c r="A34" t="s">
        <v>94</v>
      </c>
      <c r="B34" s="29">
        <v>1.2</v>
      </c>
      <c r="C34" s="2">
        <f>$B$32*C32</f>
        <v>0</v>
      </c>
      <c r="D34" s="2">
        <f t="shared" ref="D34:V34" si="4">$B$32*D32</f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</row>
    <row r="35" spans="1:22" hidden="1" x14ac:dyDescent="0.2">
      <c r="P35" s="9">
        <f>SUM(C34:P34)</f>
        <v>0</v>
      </c>
    </row>
    <row r="36" spans="1:22" hidden="1" x14ac:dyDescent="0.2"/>
    <row r="37" spans="1:22" ht="12.75" hidden="1" x14ac:dyDescent="0.2">
      <c r="A37" s="1" t="s">
        <v>95</v>
      </c>
    </row>
    <row r="38" spans="1:22" ht="12.75" hidden="1" x14ac:dyDescent="0.2">
      <c r="A38" s="5" t="s">
        <v>96</v>
      </c>
    </row>
    <row r="39" spans="1:22" ht="12.75" hidden="1" x14ac:dyDescent="0.2">
      <c r="A39" s="1" t="s">
        <v>89</v>
      </c>
      <c r="B39" s="30">
        <v>100</v>
      </c>
      <c r="C39" s="30">
        <v>125</v>
      </c>
      <c r="D39" s="30">
        <v>150</v>
      </c>
      <c r="E39" s="30">
        <v>175</v>
      </c>
      <c r="F39" s="30">
        <v>200</v>
      </c>
      <c r="G39" s="30">
        <v>225</v>
      </c>
      <c r="H39" s="30">
        <v>250</v>
      </c>
      <c r="I39" s="30">
        <v>275</v>
      </c>
      <c r="J39" s="30">
        <v>300</v>
      </c>
      <c r="K39" s="30">
        <v>325</v>
      </c>
      <c r="L39" s="30">
        <v>350</v>
      </c>
      <c r="M39" s="30">
        <v>375</v>
      </c>
      <c r="N39" s="30">
        <v>400</v>
      </c>
      <c r="O39" s="30">
        <v>425</v>
      </c>
      <c r="P39" s="30">
        <v>450</v>
      </c>
      <c r="Q39" s="30">
        <v>475</v>
      </c>
      <c r="R39" s="30">
        <v>500</v>
      </c>
      <c r="S39" s="30">
        <v>525</v>
      </c>
      <c r="T39" s="30">
        <v>550</v>
      </c>
      <c r="U39" s="30">
        <v>575</v>
      </c>
      <c r="V39" s="30">
        <v>600</v>
      </c>
    </row>
    <row r="40" spans="1:22" hidden="1" x14ac:dyDescent="0.2">
      <c r="A40" t="s">
        <v>90</v>
      </c>
      <c r="B40">
        <v>2.8</v>
      </c>
      <c r="C40">
        <v>2.99</v>
      </c>
      <c r="D40">
        <v>3.19</v>
      </c>
      <c r="E40">
        <v>3.4</v>
      </c>
      <c r="F40">
        <v>3.62</v>
      </c>
      <c r="G40">
        <v>3.86</v>
      </c>
      <c r="H40">
        <v>4.12</v>
      </c>
      <c r="I40">
        <v>4.3899999999999997</v>
      </c>
      <c r="J40">
        <v>4.68</v>
      </c>
      <c r="K40">
        <v>4.99</v>
      </c>
      <c r="L40">
        <v>5.32</v>
      </c>
      <c r="M40">
        <v>5.67</v>
      </c>
      <c r="N40">
        <v>6.04</v>
      </c>
      <c r="O40">
        <v>6.44</v>
      </c>
      <c r="P40">
        <v>6.87</v>
      </c>
      <c r="Q40">
        <v>7.32</v>
      </c>
      <c r="R40">
        <v>7.8</v>
      </c>
      <c r="S40">
        <v>8.32</v>
      </c>
      <c r="T40">
        <v>8.8699999999999992</v>
      </c>
      <c r="U40">
        <v>9.4600000000000009</v>
      </c>
      <c r="V40">
        <v>10.08</v>
      </c>
    </row>
    <row r="41" spans="1:22" hidden="1" x14ac:dyDescent="0.2">
      <c r="A41" t="s">
        <v>91</v>
      </c>
      <c r="B41" s="9">
        <f>B40*0.8</f>
        <v>2.2399999999999998</v>
      </c>
      <c r="C41" s="9">
        <f t="shared" ref="C41:V41" si="5">C40*0.8</f>
        <v>2.3920000000000003</v>
      </c>
      <c r="D41" s="9">
        <f t="shared" si="5"/>
        <v>2.552</v>
      </c>
      <c r="E41" s="9">
        <f t="shared" si="5"/>
        <v>2.72</v>
      </c>
      <c r="F41" s="9">
        <f t="shared" si="5"/>
        <v>2.8960000000000004</v>
      </c>
      <c r="G41" s="9">
        <f t="shared" si="5"/>
        <v>3.0880000000000001</v>
      </c>
      <c r="H41" s="9">
        <f t="shared" si="5"/>
        <v>3.2960000000000003</v>
      </c>
      <c r="I41" s="9">
        <f t="shared" si="5"/>
        <v>3.512</v>
      </c>
      <c r="J41" s="9">
        <f t="shared" si="5"/>
        <v>3.7439999999999998</v>
      </c>
      <c r="K41" s="9">
        <f t="shared" si="5"/>
        <v>3.9920000000000004</v>
      </c>
      <c r="L41" s="9">
        <f t="shared" si="5"/>
        <v>4.2560000000000002</v>
      </c>
      <c r="M41" s="9">
        <f t="shared" si="5"/>
        <v>4.5360000000000005</v>
      </c>
      <c r="N41" s="9">
        <f t="shared" si="5"/>
        <v>4.8320000000000007</v>
      </c>
      <c r="O41" s="9">
        <f t="shared" si="5"/>
        <v>5.152000000000001</v>
      </c>
      <c r="P41" s="9">
        <f t="shared" si="5"/>
        <v>5.4960000000000004</v>
      </c>
      <c r="Q41" s="9">
        <f t="shared" si="5"/>
        <v>5.8560000000000008</v>
      </c>
      <c r="R41" s="9">
        <f t="shared" si="5"/>
        <v>6.24</v>
      </c>
      <c r="S41" s="9">
        <f t="shared" si="5"/>
        <v>6.6560000000000006</v>
      </c>
      <c r="T41" s="9">
        <f t="shared" si="5"/>
        <v>7.0960000000000001</v>
      </c>
      <c r="U41" s="9">
        <f t="shared" si="5"/>
        <v>7.5680000000000014</v>
      </c>
      <c r="V41" s="9">
        <f t="shared" si="5"/>
        <v>8.0640000000000001</v>
      </c>
    </row>
    <row r="42" spans="1:22" hidden="1" x14ac:dyDescent="0.2">
      <c r="A42" t="s">
        <v>92</v>
      </c>
      <c r="B42" s="9"/>
      <c r="C42" s="9">
        <f t="shared" ref="C42:V42" si="6">(C39-B39)*((B40+C40))/2</f>
        <v>72.375</v>
      </c>
      <c r="D42" s="9">
        <f t="shared" si="6"/>
        <v>77.25</v>
      </c>
      <c r="E42" s="9">
        <f t="shared" si="6"/>
        <v>82.375</v>
      </c>
      <c r="F42" s="9">
        <f t="shared" si="6"/>
        <v>87.75</v>
      </c>
      <c r="G42" s="9">
        <f t="shared" si="6"/>
        <v>93.5</v>
      </c>
      <c r="H42" s="9">
        <f t="shared" si="6"/>
        <v>99.75</v>
      </c>
      <c r="I42" s="9">
        <f t="shared" si="6"/>
        <v>106.375</v>
      </c>
      <c r="J42" s="9">
        <f t="shared" si="6"/>
        <v>113.375</v>
      </c>
      <c r="K42" s="9">
        <f t="shared" si="6"/>
        <v>120.875</v>
      </c>
      <c r="L42" s="9">
        <f t="shared" si="6"/>
        <v>128.875</v>
      </c>
      <c r="M42" s="9">
        <f t="shared" si="6"/>
        <v>137.375</v>
      </c>
      <c r="N42" s="9">
        <f t="shared" si="6"/>
        <v>146.375</v>
      </c>
      <c r="O42" s="9">
        <f t="shared" si="6"/>
        <v>156</v>
      </c>
      <c r="P42" s="9">
        <f t="shared" si="6"/>
        <v>166.375</v>
      </c>
      <c r="Q42" s="9">
        <f t="shared" si="6"/>
        <v>177.37500000000003</v>
      </c>
      <c r="R42" s="9">
        <f t="shared" si="6"/>
        <v>189</v>
      </c>
      <c r="S42" s="9">
        <f t="shared" si="6"/>
        <v>201.5</v>
      </c>
      <c r="T42" s="9">
        <f t="shared" si="6"/>
        <v>214.87499999999997</v>
      </c>
      <c r="U42" s="9">
        <f t="shared" si="6"/>
        <v>229.12499999999997</v>
      </c>
      <c r="V42" s="9">
        <f t="shared" si="6"/>
        <v>244.25</v>
      </c>
    </row>
    <row r="43" spans="1:22" hidden="1" x14ac:dyDescent="0.2"/>
    <row r="44" spans="1:22" ht="12.75" hidden="1" x14ac:dyDescent="0.2">
      <c r="A44" s="5" t="s">
        <v>97</v>
      </c>
    </row>
    <row r="45" spans="1:22" ht="12.75" hidden="1" x14ac:dyDescent="0.2">
      <c r="A45" s="1" t="s">
        <v>89</v>
      </c>
      <c r="B45" s="31">
        <v>104</v>
      </c>
      <c r="C45" s="30">
        <v>125</v>
      </c>
      <c r="D45" s="30">
        <v>150</v>
      </c>
      <c r="E45" s="30">
        <v>175</v>
      </c>
      <c r="F45" s="30">
        <v>200</v>
      </c>
      <c r="G45" s="30">
        <v>225</v>
      </c>
      <c r="H45" s="30">
        <v>250</v>
      </c>
      <c r="I45" s="30">
        <v>275</v>
      </c>
      <c r="J45" s="30">
        <v>300</v>
      </c>
      <c r="K45" s="30">
        <v>325</v>
      </c>
      <c r="L45" s="30">
        <v>350</v>
      </c>
      <c r="M45" s="30">
        <v>375</v>
      </c>
      <c r="N45" s="30">
        <v>400</v>
      </c>
      <c r="O45" s="30">
        <v>425</v>
      </c>
      <c r="P45" s="30">
        <v>450</v>
      </c>
      <c r="Q45" s="30">
        <v>475</v>
      </c>
      <c r="R45" s="30">
        <v>500</v>
      </c>
      <c r="S45" s="30">
        <v>525</v>
      </c>
      <c r="T45" s="30">
        <v>550</v>
      </c>
      <c r="U45" s="30">
        <v>575</v>
      </c>
      <c r="V45" s="30">
        <v>600</v>
      </c>
    </row>
    <row r="46" spans="1:22" ht="12.75" hidden="1" x14ac:dyDescent="0.2">
      <c r="A46" t="s">
        <v>90</v>
      </c>
      <c r="B46" s="32">
        <v>3.15</v>
      </c>
      <c r="C46">
        <v>3.32</v>
      </c>
      <c r="D46">
        <v>3.54</v>
      </c>
      <c r="E46">
        <v>3.77</v>
      </c>
      <c r="F46">
        <v>4.0199999999999996</v>
      </c>
      <c r="G46">
        <v>4.29</v>
      </c>
      <c r="H46">
        <v>4.57</v>
      </c>
      <c r="I46">
        <v>4.87</v>
      </c>
      <c r="J46">
        <v>5.2</v>
      </c>
      <c r="K46">
        <v>5.54</v>
      </c>
      <c r="L46">
        <v>5.91</v>
      </c>
      <c r="M46">
        <v>6.3</v>
      </c>
      <c r="N46">
        <v>6.71</v>
      </c>
      <c r="O46">
        <v>7.16</v>
      </c>
      <c r="P46" s="5">
        <v>7.63</v>
      </c>
      <c r="Q46">
        <v>8.1300000000000008</v>
      </c>
      <c r="R46">
        <v>8.67</v>
      </c>
      <c r="S46">
        <v>9.25</v>
      </c>
      <c r="T46">
        <v>9.86</v>
      </c>
      <c r="U46" s="5">
        <v>10.51</v>
      </c>
      <c r="V46">
        <v>11.2</v>
      </c>
    </row>
    <row r="47" spans="1:22" hidden="1" x14ac:dyDescent="0.2">
      <c r="A47" t="str">
        <f>A41</f>
        <v>FE/dag</v>
      </c>
      <c r="B47" s="9">
        <f>B46*1.1</f>
        <v>3.4650000000000003</v>
      </c>
      <c r="C47" s="9">
        <f t="shared" ref="C47:V47" si="7">C46*1.1</f>
        <v>3.6520000000000001</v>
      </c>
      <c r="D47" s="9">
        <f t="shared" si="7"/>
        <v>3.8940000000000006</v>
      </c>
      <c r="E47" s="9">
        <f t="shared" si="7"/>
        <v>4.1470000000000002</v>
      </c>
      <c r="F47" s="9">
        <f t="shared" si="7"/>
        <v>4.4219999999999997</v>
      </c>
      <c r="G47" s="9">
        <f t="shared" si="7"/>
        <v>4.7190000000000003</v>
      </c>
      <c r="H47" s="9">
        <f t="shared" si="7"/>
        <v>5.027000000000001</v>
      </c>
      <c r="I47" s="9">
        <f t="shared" si="7"/>
        <v>5.3570000000000002</v>
      </c>
      <c r="J47" s="9">
        <f t="shared" si="7"/>
        <v>5.7200000000000006</v>
      </c>
      <c r="K47" s="9">
        <f t="shared" si="7"/>
        <v>6.0940000000000003</v>
      </c>
      <c r="L47" s="9">
        <f t="shared" si="7"/>
        <v>6.5010000000000003</v>
      </c>
      <c r="M47" s="9">
        <f t="shared" si="7"/>
        <v>6.9300000000000006</v>
      </c>
      <c r="N47" s="9">
        <f t="shared" si="7"/>
        <v>7.3810000000000002</v>
      </c>
      <c r="O47" s="9">
        <f t="shared" si="7"/>
        <v>7.8760000000000012</v>
      </c>
      <c r="P47" s="9">
        <f t="shared" si="7"/>
        <v>8.3930000000000007</v>
      </c>
      <c r="Q47" s="9">
        <f t="shared" si="7"/>
        <v>8.9430000000000014</v>
      </c>
      <c r="R47" s="9">
        <f t="shared" si="7"/>
        <v>9.5370000000000008</v>
      </c>
      <c r="S47" s="9">
        <f t="shared" si="7"/>
        <v>10.175000000000001</v>
      </c>
      <c r="T47" s="9">
        <f t="shared" si="7"/>
        <v>10.846</v>
      </c>
      <c r="U47" s="9">
        <f t="shared" si="7"/>
        <v>11.561</v>
      </c>
      <c r="V47" s="9">
        <f t="shared" si="7"/>
        <v>12.32</v>
      </c>
    </row>
    <row r="48" spans="1:22" hidden="1" x14ac:dyDescent="0.2">
      <c r="A48" t="str">
        <f>A42</f>
        <v>Marginal foderforbrug</v>
      </c>
      <c r="C48" s="9">
        <f>(C45-B45)*(B46+C46)/2</f>
        <v>67.935000000000002</v>
      </c>
      <c r="D48" s="9">
        <f t="shared" ref="D48:V48" si="8">(D45-C45)*(C46+D46)/2</f>
        <v>85.75</v>
      </c>
      <c r="E48" s="9">
        <f t="shared" si="8"/>
        <v>91.375</v>
      </c>
      <c r="F48" s="9">
        <f t="shared" si="8"/>
        <v>97.374999999999986</v>
      </c>
      <c r="G48" s="9">
        <f t="shared" si="8"/>
        <v>103.87499999999999</v>
      </c>
      <c r="H48" s="9">
        <f t="shared" si="8"/>
        <v>110.75</v>
      </c>
      <c r="I48" s="9">
        <f t="shared" si="8"/>
        <v>118.00000000000001</v>
      </c>
      <c r="J48" s="9">
        <f t="shared" si="8"/>
        <v>125.875</v>
      </c>
      <c r="K48" s="9">
        <f t="shared" si="8"/>
        <v>134.25</v>
      </c>
      <c r="L48" s="9">
        <f t="shared" si="8"/>
        <v>143.125</v>
      </c>
      <c r="M48" s="9">
        <f t="shared" si="8"/>
        <v>152.625</v>
      </c>
      <c r="N48" s="9">
        <f t="shared" si="8"/>
        <v>162.625</v>
      </c>
      <c r="O48" s="9">
        <f t="shared" si="8"/>
        <v>173.375</v>
      </c>
      <c r="P48" s="9">
        <f t="shared" si="8"/>
        <v>184.875</v>
      </c>
      <c r="Q48" s="9">
        <f t="shared" si="8"/>
        <v>197.00000000000003</v>
      </c>
      <c r="R48" s="9">
        <f t="shared" si="8"/>
        <v>210</v>
      </c>
      <c r="S48" s="9">
        <f t="shared" si="8"/>
        <v>224.00000000000003</v>
      </c>
      <c r="T48" s="9">
        <f t="shared" si="8"/>
        <v>238.875</v>
      </c>
      <c r="U48" s="9">
        <f t="shared" si="8"/>
        <v>254.62499999999997</v>
      </c>
      <c r="V48" s="9">
        <f t="shared" si="8"/>
        <v>271.375</v>
      </c>
    </row>
    <row r="49" spans="1:25" hidden="1" x14ac:dyDescent="0.2">
      <c r="P49" s="2">
        <f>SUM(C48:P48)</f>
        <v>1751.81</v>
      </c>
    </row>
    <row r="50" spans="1:25" hidden="1" x14ac:dyDescent="0.2">
      <c r="A50" t="s">
        <v>94</v>
      </c>
      <c r="B50" s="26">
        <v>1.03</v>
      </c>
      <c r="C50" s="2">
        <f>$B$48*C48</f>
        <v>0</v>
      </c>
      <c r="D50" s="2">
        <f t="shared" ref="D50:V50" si="9">$B$48*D48</f>
        <v>0</v>
      </c>
      <c r="E50" s="2">
        <f t="shared" si="9"/>
        <v>0</v>
      </c>
      <c r="F50" s="2">
        <f t="shared" si="9"/>
        <v>0</v>
      </c>
      <c r="G50" s="2">
        <f t="shared" si="9"/>
        <v>0</v>
      </c>
      <c r="H50" s="2">
        <f t="shared" si="9"/>
        <v>0</v>
      </c>
      <c r="I50" s="2">
        <f t="shared" si="9"/>
        <v>0</v>
      </c>
      <c r="J50" s="2">
        <f t="shared" si="9"/>
        <v>0</v>
      </c>
      <c r="K50" s="2">
        <f t="shared" si="9"/>
        <v>0</v>
      </c>
      <c r="L50" s="2">
        <f t="shared" si="9"/>
        <v>0</v>
      </c>
      <c r="M50" s="2">
        <f t="shared" si="9"/>
        <v>0</v>
      </c>
      <c r="N50" s="2">
        <f t="shared" si="9"/>
        <v>0</v>
      </c>
      <c r="O50" s="2">
        <f t="shared" si="9"/>
        <v>0</v>
      </c>
      <c r="P50" s="2">
        <f t="shared" si="9"/>
        <v>0</v>
      </c>
      <c r="Q50" s="2">
        <f t="shared" si="9"/>
        <v>0</v>
      </c>
      <c r="R50" s="2">
        <f t="shared" si="9"/>
        <v>0</v>
      </c>
      <c r="S50" s="2">
        <f t="shared" si="9"/>
        <v>0</v>
      </c>
      <c r="T50" s="2">
        <f t="shared" si="9"/>
        <v>0</v>
      </c>
      <c r="U50" s="2">
        <f t="shared" si="9"/>
        <v>0</v>
      </c>
      <c r="V50" s="2">
        <f t="shared" si="9"/>
        <v>0</v>
      </c>
    </row>
    <row r="51" spans="1:25" hidden="1" x14ac:dyDescent="0.2"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f>SUM(C50:P50)</f>
        <v>0</v>
      </c>
      <c r="Q51" s="2"/>
      <c r="R51" s="2"/>
      <c r="S51" s="2"/>
      <c r="T51" s="2"/>
      <c r="U51" s="2">
        <f>SUM(C48:U48)</f>
        <v>2876.31</v>
      </c>
      <c r="V51" s="2"/>
    </row>
    <row r="52" spans="1:25" ht="15.75" x14ac:dyDescent="0.25">
      <c r="A52" s="144" t="s">
        <v>116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2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9"/>
    </row>
    <row r="53" spans="1:25" ht="13.5" customHeight="1" x14ac:dyDescent="0.2">
      <c r="A53" s="142" t="s">
        <v>105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2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5" ht="12.75" x14ac:dyDescent="0.2">
      <c r="A54" s="142" t="s">
        <v>115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2"/>
      <c r="O54" s="130"/>
      <c r="P54" s="130"/>
      <c r="Q54" s="130"/>
      <c r="R54" s="130"/>
      <c r="S54" s="130"/>
      <c r="T54" s="130"/>
      <c r="U54" s="130"/>
      <c r="V54" s="130"/>
      <c r="W54" s="127"/>
      <c r="X54" s="127"/>
    </row>
    <row r="55" spans="1:25" ht="12.75" x14ac:dyDescent="0.2">
      <c r="A55" s="142" t="s">
        <v>100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2"/>
      <c r="O55" s="130"/>
      <c r="P55" s="130"/>
      <c r="Q55" s="130"/>
      <c r="R55" s="130"/>
      <c r="S55" s="130"/>
      <c r="T55" s="130"/>
      <c r="U55" s="130"/>
      <c r="V55" s="130"/>
      <c r="W55" s="127"/>
      <c r="X55" s="127"/>
    </row>
    <row r="56" spans="1:25" x14ac:dyDescent="0.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2"/>
      <c r="O56" s="130"/>
      <c r="P56" s="130"/>
      <c r="Q56" s="130"/>
      <c r="R56" s="130"/>
      <c r="S56" s="130"/>
      <c r="T56" s="130"/>
      <c r="U56" s="130"/>
      <c r="V56" s="130"/>
      <c r="W56" s="127"/>
      <c r="X56" s="127"/>
    </row>
    <row r="57" spans="1:25" ht="15" x14ac:dyDescent="0.25">
      <c r="A57" s="145" t="s">
        <v>103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2"/>
      <c r="O57" s="140" t="s">
        <v>110</v>
      </c>
      <c r="P57" s="140"/>
      <c r="Q57" s="140"/>
      <c r="R57" s="140"/>
      <c r="S57" s="140"/>
      <c r="T57" s="140"/>
      <c r="U57" s="140"/>
      <c r="V57" s="140"/>
      <c r="W57" s="140"/>
      <c r="X57" s="140"/>
    </row>
    <row r="58" spans="1:25" ht="12.75" x14ac:dyDescent="0.2">
      <c r="A58" s="142" t="s">
        <v>104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2"/>
      <c r="O58" s="132" t="s">
        <v>111</v>
      </c>
      <c r="P58" s="130"/>
      <c r="Q58" s="130"/>
      <c r="R58" s="130"/>
      <c r="S58" s="130"/>
      <c r="T58" s="130"/>
      <c r="U58" s="130"/>
      <c r="V58" s="130"/>
      <c r="W58" s="127"/>
      <c r="X58" s="127"/>
    </row>
    <row r="59" spans="1:25" ht="13.5" thickBot="1" x14ac:dyDescent="0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5" ht="13.5" thickBot="1" x14ac:dyDescent="0.25">
      <c r="A60" s="121" t="s">
        <v>0</v>
      </c>
      <c r="B60" s="124">
        <v>43525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O60" s="127"/>
      <c r="P60" s="130"/>
      <c r="Q60" s="130"/>
      <c r="R60" s="130"/>
      <c r="S60" s="130"/>
      <c r="T60" s="130"/>
      <c r="U60" s="130"/>
      <c r="V60" s="127"/>
      <c r="W60" s="127"/>
      <c r="X60" s="127"/>
    </row>
    <row r="61" spans="1:25" ht="13.5" thickBot="1" x14ac:dyDescent="0.25">
      <c r="A61" s="134" t="s">
        <v>108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  <c r="O61" s="127"/>
      <c r="P61" s="130"/>
      <c r="Q61" s="130"/>
      <c r="R61" s="130"/>
      <c r="S61" s="130"/>
      <c r="T61" s="130"/>
      <c r="U61" s="130"/>
      <c r="V61" s="127"/>
      <c r="W61" s="127"/>
      <c r="X61" s="127"/>
    </row>
    <row r="62" spans="1:25" ht="13.5" hidden="1" thickBot="1" x14ac:dyDescent="0.25">
      <c r="A62" s="1"/>
      <c r="B62" s="3"/>
      <c r="E62" s="4">
        <f t="shared" ref="E62:M62" si="10">$B$60+E65*30.4</f>
        <v>43993.16</v>
      </c>
      <c r="F62" s="4">
        <f t="shared" si="10"/>
        <v>44023.56</v>
      </c>
      <c r="G62" s="4">
        <f t="shared" si="10"/>
        <v>44053.96</v>
      </c>
      <c r="H62" s="4">
        <f t="shared" si="10"/>
        <v>44084.36</v>
      </c>
      <c r="I62" s="4">
        <f t="shared" si="10"/>
        <v>44114.76</v>
      </c>
      <c r="J62" s="4">
        <f t="shared" si="10"/>
        <v>44145.16</v>
      </c>
      <c r="K62" s="4">
        <f t="shared" si="10"/>
        <v>44209</v>
      </c>
      <c r="L62" s="4">
        <f t="shared" si="10"/>
        <v>44239.4</v>
      </c>
      <c r="M62" s="4">
        <f t="shared" si="10"/>
        <v>44269.8</v>
      </c>
      <c r="O62" s="127"/>
      <c r="P62" s="130"/>
      <c r="Q62" s="130"/>
      <c r="R62" s="130"/>
      <c r="S62" s="130"/>
      <c r="T62" s="130"/>
      <c r="U62" s="130"/>
      <c r="V62" s="127"/>
      <c r="W62" s="127"/>
      <c r="X62" s="127"/>
    </row>
    <row r="63" spans="1:25" ht="13.5" thickBot="1" x14ac:dyDescent="0.25">
      <c r="A63" s="138" t="s">
        <v>106</v>
      </c>
      <c r="B63" s="139"/>
      <c r="C63" s="120"/>
      <c r="D63" s="99"/>
      <c r="E63" s="57"/>
      <c r="F63" s="57"/>
      <c r="G63" s="57"/>
      <c r="H63" s="57"/>
      <c r="I63" s="57"/>
      <c r="J63" s="57"/>
      <c r="K63" s="57"/>
      <c r="L63" s="57"/>
      <c r="M63" s="58"/>
      <c r="O63" s="127"/>
      <c r="P63" s="130"/>
      <c r="Q63" s="130"/>
      <c r="R63" s="130"/>
      <c r="S63" s="130"/>
      <c r="T63" s="130"/>
      <c r="U63" s="130"/>
      <c r="V63" s="127"/>
      <c r="W63" s="127"/>
      <c r="X63" s="127"/>
    </row>
    <row r="64" spans="1:25" ht="13.5" thickTop="1" x14ac:dyDescent="0.2">
      <c r="A64" s="77" t="s">
        <v>1</v>
      </c>
      <c r="B64" s="78"/>
      <c r="C64" s="98"/>
      <c r="D64" s="35"/>
      <c r="E64" s="36">
        <f t="shared" ref="E64:M64" si="11">E62</f>
        <v>43993.16</v>
      </c>
      <c r="F64" s="36">
        <f t="shared" si="11"/>
        <v>44023.56</v>
      </c>
      <c r="G64" s="36">
        <f t="shared" si="11"/>
        <v>44053.96</v>
      </c>
      <c r="H64" s="36">
        <f t="shared" si="11"/>
        <v>44084.36</v>
      </c>
      <c r="I64" s="36">
        <f t="shared" si="11"/>
        <v>44114.76</v>
      </c>
      <c r="J64" s="36">
        <f t="shared" si="11"/>
        <v>44145.16</v>
      </c>
      <c r="K64" s="36">
        <f t="shared" si="11"/>
        <v>44209</v>
      </c>
      <c r="L64" s="36">
        <f t="shared" si="11"/>
        <v>44239.4</v>
      </c>
      <c r="M64" s="60">
        <f t="shared" si="11"/>
        <v>44269.8</v>
      </c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ht="13.5" thickBot="1" x14ac:dyDescent="0.25">
      <c r="A65" s="79" t="s">
        <v>2</v>
      </c>
      <c r="B65" s="71"/>
      <c r="C65" s="71"/>
      <c r="D65" s="71"/>
      <c r="E65" s="80">
        <v>15.4</v>
      </c>
      <c r="F65" s="80">
        <v>16.399999999999999</v>
      </c>
      <c r="G65" s="80">
        <v>17.399999999999999</v>
      </c>
      <c r="H65" s="80">
        <v>18.399999999999999</v>
      </c>
      <c r="I65" s="80">
        <v>19.399999999999999</v>
      </c>
      <c r="J65" s="80">
        <v>20.399999999999999</v>
      </c>
      <c r="K65" s="80">
        <v>22.5</v>
      </c>
      <c r="L65" s="80">
        <v>23.5</v>
      </c>
      <c r="M65" s="81">
        <v>24.5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ht="13.5" thickBot="1" x14ac:dyDescent="0.25">
      <c r="A66" s="85" t="s">
        <v>3</v>
      </c>
      <c r="B66" s="86"/>
      <c r="C66" s="86"/>
      <c r="D66" s="86"/>
      <c r="E66" s="86">
        <v>400</v>
      </c>
      <c r="F66" s="86">
        <v>425</v>
      </c>
      <c r="G66" s="86">
        <v>450</v>
      </c>
      <c r="H66" s="86">
        <v>475</v>
      </c>
      <c r="I66" s="86">
        <v>500</v>
      </c>
      <c r="J66" s="86">
        <v>525</v>
      </c>
      <c r="K66" s="86">
        <v>550</v>
      </c>
      <c r="L66" s="86">
        <v>575</v>
      </c>
      <c r="M66" s="87">
        <v>600</v>
      </c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2.75" hidden="1" x14ac:dyDescent="0.2">
      <c r="A67" s="77" t="s">
        <v>4</v>
      </c>
      <c r="B67" s="82"/>
      <c r="C67" s="83"/>
      <c r="D67" s="83"/>
      <c r="E67" s="83">
        <v>0.50800000000000001</v>
      </c>
      <c r="F67" s="83">
        <f>E67+((F66-E66)/100)*$N$67</f>
        <v>0.51075000000000004</v>
      </c>
      <c r="G67" s="83">
        <f t="shared" ref="G67:M67" si="12">F67+((G66-F66)/100)*$N$67</f>
        <v>0.51350000000000007</v>
      </c>
      <c r="H67" s="83">
        <f t="shared" si="12"/>
        <v>0.5162500000000001</v>
      </c>
      <c r="I67" s="83">
        <f t="shared" si="12"/>
        <v>0.51900000000000013</v>
      </c>
      <c r="J67" s="83">
        <f t="shared" si="12"/>
        <v>0.52175000000000016</v>
      </c>
      <c r="K67" s="83">
        <f t="shared" si="12"/>
        <v>0.52450000000000019</v>
      </c>
      <c r="L67" s="83">
        <f t="shared" si="12"/>
        <v>0.52725000000000022</v>
      </c>
      <c r="M67" s="84">
        <f t="shared" si="12"/>
        <v>0.53000000000000025</v>
      </c>
      <c r="N67" s="7">
        <v>1.0999999999999999E-2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idden="1" x14ac:dyDescent="0.2">
      <c r="A68" s="61" t="s">
        <v>5</v>
      </c>
      <c r="B68" s="34"/>
      <c r="C68" s="35"/>
      <c r="D68" s="35"/>
      <c r="E68" s="35">
        <v>2.78</v>
      </c>
      <c r="F68" s="35">
        <f>E68+(F66-E66)/100*$N$68</f>
        <v>2.9049999999999998</v>
      </c>
      <c r="G68" s="35">
        <f t="shared" ref="G68:M68" si="13">F68+(G66-F66)/100*$N$68</f>
        <v>3.03</v>
      </c>
      <c r="H68" s="35">
        <f t="shared" si="13"/>
        <v>3.1549999999999998</v>
      </c>
      <c r="I68" s="35">
        <f t="shared" si="13"/>
        <v>3.28</v>
      </c>
      <c r="J68" s="35">
        <f t="shared" si="13"/>
        <v>3.4049999999999998</v>
      </c>
      <c r="K68" s="35">
        <f t="shared" si="13"/>
        <v>3.53</v>
      </c>
      <c r="L68" s="35">
        <f t="shared" si="13"/>
        <v>3.6549999999999998</v>
      </c>
      <c r="M68" s="62">
        <f t="shared" si="13"/>
        <v>3.78</v>
      </c>
      <c r="N68" s="9">
        <v>0.5</v>
      </c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ht="12.75" x14ac:dyDescent="0.2">
      <c r="A69" s="59" t="s">
        <v>6</v>
      </c>
      <c r="B69" s="37"/>
      <c r="C69" s="37"/>
      <c r="D69" s="37"/>
      <c r="E69" s="38">
        <f t="shared" ref="E69:M69" si="14">E66*E67</f>
        <v>203.2</v>
      </c>
      <c r="F69" s="37">
        <f t="shared" si="14"/>
        <v>217.06875000000002</v>
      </c>
      <c r="G69" s="37">
        <f t="shared" si="14"/>
        <v>231.07500000000002</v>
      </c>
      <c r="H69" s="37">
        <f t="shared" si="14"/>
        <v>245.21875000000006</v>
      </c>
      <c r="I69" s="37">
        <f t="shared" si="14"/>
        <v>259.50000000000006</v>
      </c>
      <c r="J69" s="37">
        <f t="shared" si="14"/>
        <v>273.9187500000001</v>
      </c>
      <c r="K69" s="37">
        <f t="shared" si="14"/>
        <v>288.47500000000008</v>
      </c>
      <c r="L69" s="37">
        <f t="shared" si="14"/>
        <v>303.1687500000001</v>
      </c>
      <c r="M69" s="63">
        <f t="shared" si="14"/>
        <v>318.00000000000017</v>
      </c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ht="12.75" x14ac:dyDescent="0.2">
      <c r="A70" s="64" t="s">
        <v>99</v>
      </c>
      <c r="B70" s="39"/>
      <c r="C70" s="39"/>
      <c r="D70" s="39"/>
      <c r="E70" s="39">
        <f>14.35+0.72+2.61+0.8</f>
        <v>18.48</v>
      </c>
      <c r="F70" s="39">
        <f>14.35+1.156+3.05+0.8</f>
        <v>19.356000000000002</v>
      </c>
      <c r="G70" s="39">
        <f>17.7+1.59+0.03+0.8</f>
        <v>20.12</v>
      </c>
      <c r="H70" s="39">
        <f>17.7+2.03+0.16+0.8</f>
        <v>20.69</v>
      </c>
      <c r="I70" s="40">
        <f>20.2+0.28+0.8</f>
        <v>21.28</v>
      </c>
      <c r="J70" s="39">
        <f>20.2-0.18+0.41+0.8</f>
        <v>21.23</v>
      </c>
      <c r="K70" s="39">
        <f>20.2-0.28+0.53+0.8</f>
        <v>21.25</v>
      </c>
      <c r="L70" s="39">
        <f>20.2-0.43+0.66+0.8</f>
        <v>21.23</v>
      </c>
      <c r="M70" s="65">
        <f>20.2-0.77+0.78+0.8</f>
        <v>21.01</v>
      </c>
      <c r="O70" s="127"/>
      <c r="P70" s="127"/>
      <c r="Q70" s="127"/>
      <c r="R70" s="131"/>
      <c r="S70" s="127"/>
      <c r="T70" s="127"/>
      <c r="U70" s="127"/>
      <c r="V70" s="127"/>
      <c r="W70" s="127"/>
      <c r="X70" s="127"/>
    </row>
    <row r="71" spans="1:24" ht="13.5" thickBot="1" x14ac:dyDescent="0.25">
      <c r="A71" s="64" t="s">
        <v>7</v>
      </c>
      <c r="B71" s="50"/>
      <c r="C71" s="39"/>
      <c r="D71" s="39"/>
      <c r="E71" s="39">
        <f t="shared" ref="E71:M71" si="15">IF(AND(E64&gt;$B$168,E64&lt;$B$170),$C$169,IF(AND(E64&gt;$B$169,E64&lt;$B$171),$C$170,IF(AND(E64&gt;$B$170,E64&lt;$B$172),$C$171,IF(AND(E64&gt;$B$171,E64&lt;$B$173),$C$172,IF(AND(E64&gt;$B$172,E64&lt;$B$174),$C$173,IF(AND(E64&gt;$B$173,E64&lt;$B$175),$C$174,IF(AND(E64&gt;$B$174,E64&lt;B$176),$C$175,IF(AND(E64&gt;$B$175,$E$64&lt;$B$177),$C$176,IF(AND(E64&gt;$B$176,E64&lt;$B$178),$C$177,IF(AND(E64&gt;$B$177,E64&lt;$B$179),$C$178,IF(AND(E64&gt;$B$178,E64&lt;$B$180),$C$179,IF(AND(E64&gt;$B$179,E64&lt;$B$181),$C$180,IF(AND(E64&gt;$B$180,E64&lt;$B$182),$C$181,IF(AND(E64&gt;$B$181,E64&lt;$B$183),$C$182,IF(AND(E64&gt;$B$182,E64&lt;$B$184),$C$183,IF(AND(E64&gt;$B$183,E64&lt;$B$185),$C$184,IF(AND(E64&gt;$B$184,E64&lt;$B$186),$C$185,IF(AND(E64&gt;$B$185,E64&lt;$B$187),$C$186,IF(AND(E64&gt;$B$186,E64&lt;$B$188),$C$187,IF(AND(E64&gt;$B$187,E64&lt;$B$189),$C$188,IF(AND(E64&gt;$B$188,E64&lt;$B$190),$C$189,IF(AND(E64&gt;$B$189,E64&lt;$B$191),$C$190,IF(AND(E64&gt;$B$190,E64&lt;B$192),C191,IF(AND(E64&gt;$B$191,E64&lt;$B$193),$C$192,IF(AND(E64&gt;$B$192,E64&lt;$B$194),$C$193,IF(AND(E64&gt;$B$193,E64&lt;$B$195),$C$194,IF(AND(E64&gt;$B$194,E64&lt;B18),$C$195,IF(AND(E64&gt;$B$195,E64&lt;$B$197),$C$196,IF(AND(E64&gt;$B$196,E64&lt;$B$198),$C$197,IF(AND(E64&gt;$B$197,E64&lt;$B$199),$C$198,IF(AND(E64&gt;$B$198,E64&lt;$B$200),$C$199,IF(AND(E64&gt;$B$199,E64&lt;$B$201),$C$200,IF(AND(E64&gt;$B$200,E64&lt;$B$202),$C$201,IF(AND(E64&gt;$B$201,E64&lt;$B$203),$C$202,IF(AND(E64&gt;$B$202,E64&lt;$B$204),$C$203,IF(AND(E64&gt;$B$203,E64&lt;$B$205),$C$204))))))))))))))))))))))))))))))))))))</f>
        <v>5</v>
      </c>
      <c r="F71" s="39">
        <f t="shared" si="15"/>
        <v>5.5</v>
      </c>
      <c r="G71" s="39">
        <f t="shared" si="15"/>
        <v>5.5</v>
      </c>
      <c r="H71" s="39">
        <f t="shared" si="15"/>
        <v>5.5</v>
      </c>
      <c r="I71" s="39">
        <f t="shared" si="15"/>
        <v>5.5</v>
      </c>
      <c r="J71" s="39">
        <f t="shared" si="15"/>
        <v>5.5</v>
      </c>
      <c r="K71" s="39">
        <f t="shared" si="15"/>
        <v>5.5</v>
      </c>
      <c r="L71" s="39">
        <f t="shared" si="15"/>
        <v>5.5</v>
      </c>
      <c r="M71" s="65">
        <f t="shared" si="15"/>
        <v>5.5</v>
      </c>
      <c r="O71" s="128"/>
      <c r="P71" s="128"/>
      <c r="Q71" s="128"/>
      <c r="R71" s="128"/>
      <c r="S71" s="128"/>
      <c r="T71" s="128"/>
      <c r="U71" s="128"/>
      <c r="V71" s="128"/>
      <c r="W71" s="127"/>
      <c r="X71" s="127"/>
    </row>
    <row r="72" spans="1:24" ht="13.5" thickBot="1" x14ac:dyDescent="0.25">
      <c r="A72" s="66" t="s">
        <v>8</v>
      </c>
      <c r="B72" s="125">
        <v>1.3</v>
      </c>
      <c r="C72" s="49" t="s">
        <v>98</v>
      </c>
      <c r="D72" s="39"/>
      <c r="E72" s="39">
        <f>$B$72</f>
        <v>1.3</v>
      </c>
      <c r="F72" s="39">
        <f t="shared" ref="F72:M72" si="16">$B$72</f>
        <v>1.3</v>
      </c>
      <c r="G72" s="39">
        <f t="shared" si="16"/>
        <v>1.3</v>
      </c>
      <c r="H72" s="39">
        <f t="shared" si="16"/>
        <v>1.3</v>
      </c>
      <c r="I72" s="39">
        <f t="shared" si="16"/>
        <v>1.3</v>
      </c>
      <c r="J72" s="39">
        <f t="shared" si="16"/>
        <v>1.3</v>
      </c>
      <c r="K72" s="39">
        <f t="shared" si="16"/>
        <v>1.3</v>
      </c>
      <c r="L72" s="39">
        <f t="shared" si="16"/>
        <v>1.3</v>
      </c>
      <c r="M72" s="65">
        <f t="shared" si="16"/>
        <v>1.3</v>
      </c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ht="12.75" x14ac:dyDescent="0.2">
      <c r="A73" s="64" t="s">
        <v>9</v>
      </c>
      <c r="B73" s="51"/>
      <c r="C73" s="39"/>
      <c r="D73" s="39"/>
      <c r="E73" s="39">
        <v>0</v>
      </c>
      <c r="F73" s="39">
        <f t="shared" ref="F73:M73" si="17">IF(AND(F64&gt;$B$168,F64&lt;$B$170),$D$169,IF(AND(F64&gt;$B$169,F64&lt;$B$171),$D$170,IF(AND(F64&gt;$B$170,F64&lt;$B$172),$D$171,IF(AND(F64&gt;$B$171,F64&lt;$B$173),$D$172,IF(AND(F64&gt;$B$172,F64&lt;$B$174),$D$173,IF(AND(F64&gt;$B$173,F64&lt;$B$175),$D$174,IF(AND(F64&gt;$B$174,F64&lt;$B$176),$D$175,IF(AND(F64&gt;$B$175,F64&lt;$B$177),$D$176,IF(AND(F64&gt;$B$176,F64&lt;$B$178),$D$177,IF(AND(F64&gt;$B$177,F64&lt;$B$179),$D$178,IF(AND(F64&gt;$B$178,F64&lt;$B$180),$D$179,IF(AND(F64&gt;$B$179,F64&lt;$B$181),$D$180,IF(AND(F64&gt;$B$180,F64&lt;$B$182),$D$181,IF(AND(F64&gt;$B$181,F64&lt;$B$183),$D$182,IF(AND(F64&gt;$B$182,F64&lt;$B$184),$D$183,IF(AND(F64&gt;$B$183,F64&lt;$B$185),$D$184,IF(AND(F64&gt;$B$184,F64&lt;$B$186),$D$185,IF(AND(F64&gt;$B$185,F64&lt;$B$187),$D$186,IF(AND(F64&gt;$B$186,F64&lt;$B$188),$D$187,IF(AND(F64&gt;$B$187,F64&lt;$B$189),$D$188,IF(AND(F64&gt;$B$188,F64&lt;$B$190),$D$189,IF(AND(F64&gt;$B$189,F64&lt;$B$191),$D$190,IF(AND(F64&gt;$B$190,F64&lt;$B$192),$D$191,IF(AND(F64&gt;$B$191,F64&lt;$B$193),$D$192,IF(AND(F64&gt;$B$192,F64&lt;$B$194),$D$193,IF(AND(F64&gt;$B$193,F64&lt;$B$195),$D$194,IF(AND(F64&gt;$B$194,F64&lt;C20),$D$195,IF(AND(F64&gt;$B$195,F64&lt;$B$197),$D$196,IF(AND(F64&gt;$B$196,F64&lt;$B$198),$D$197,IF(AND(F64&gt;$B$197,F64&lt;$B$199),$D$198,IF(AND(F64&gt;$B$198,F64&lt;$B$200),$D$199,IF(AND(F64&gt;$B$199,F64&lt;$B$201),$D$200,IF(AND(F64&gt;$B$200,F64&lt;$B$202),$D$201,IF(AND(F64&gt;$B$201,F64&lt;$B$203),$D$202,IF(AND(F64&gt;$B$202,F64&lt;$B$204),$D$203,IF(AND(F64&gt;$B$203,F64&lt;$B$205),$D$204))))))))))))))))))))))))))))))))))))</f>
        <v>3</v>
      </c>
      <c r="G73" s="39">
        <f t="shared" si="17"/>
        <v>2</v>
      </c>
      <c r="H73" s="39">
        <f t="shared" si="17"/>
        <v>0</v>
      </c>
      <c r="I73" s="39">
        <f t="shared" si="17"/>
        <v>0</v>
      </c>
      <c r="J73" s="39">
        <f t="shared" si="17"/>
        <v>0</v>
      </c>
      <c r="K73" s="39">
        <f t="shared" si="17"/>
        <v>0</v>
      </c>
      <c r="L73" s="39">
        <f t="shared" si="17"/>
        <v>0</v>
      </c>
      <c r="M73" s="65">
        <f t="shared" si="17"/>
        <v>0</v>
      </c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ht="12.75" x14ac:dyDescent="0.2">
      <c r="A74" s="6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65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x14ac:dyDescent="0.2">
      <c r="A75" s="67" t="s">
        <v>10</v>
      </c>
      <c r="B75" s="42"/>
      <c r="C75" s="42"/>
      <c r="D75" s="42"/>
      <c r="E75" s="42">
        <f>E69*(E70+E71+E72+E73)</f>
        <v>5035.2960000000003</v>
      </c>
      <c r="F75" s="42">
        <f t="shared" ref="F75:M75" si="18">F69*(F70+F71+F72+F73)</f>
        <v>6328.8564750000014</v>
      </c>
      <c r="G75" s="42">
        <f t="shared" si="18"/>
        <v>6682.6890000000012</v>
      </c>
      <c r="H75" s="42">
        <f t="shared" si="18"/>
        <v>6741.0634375000018</v>
      </c>
      <c r="I75" s="42">
        <f t="shared" si="18"/>
        <v>7286.760000000002</v>
      </c>
      <c r="J75" s="42">
        <f t="shared" si="18"/>
        <v>7677.9425625000031</v>
      </c>
      <c r="K75" s="42">
        <f t="shared" si="18"/>
        <v>8091.7237500000028</v>
      </c>
      <c r="L75" s="42">
        <f t="shared" si="18"/>
        <v>8497.8200625000027</v>
      </c>
      <c r="M75" s="68">
        <f t="shared" si="18"/>
        <v>8843.5800000000054</v>
      </c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x14ac:dyDescent="0.2">
      <c r="A76" s="67" t="s">
        <v>102</v>
      </c>
      <c r="B76" s="41"/>
      <c r="C76" s="43"/>
      <c r="D76" s="43"/>
      <c r="E76" s="43"/>
      <c r="F76" s="43">
        <f>F75-E75</f>
        <v>1293.5604750000011</v>
      </c>
      <c r="G76" s="43">
        <f t="shared" ref="G76:M76" si="19">G75-F75</f>
        <v>353.83252499999981</v>
      </c>
      <c r="H76" s="43">
        <f t="shared" si="19"/>
        <v>58.374437500000568</v>
      </c>
      <c r="I76" s="43">
        <f t="shared" si="19"/>
        <v>545.69656250000025</v>
      </c>
      <c r="J76" s="43">
        <f t="shared" si="19"/>
        <v>391.18256250000104</v>
      </c>
      <c r="K76" s="43">
        <f t="shared" si="19"/>
        <v>413.78118749999976</v>
      </c>
      <c r="L76" s="43">
        <f t="shared" si="19"/>
        <v>406.09631249999984</v>
      </c>
      <c r="M76" s="69">
        <f t="shared" si="19"/>
        <v>345.75993750000271</v>
      </c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ht="12.75" thickBot="1" x14ac:dyDescent="0.25">
      <c r="A77" s="67"/>
      <c r="B77" s="53"/>
      <c r="C77" s="41"/>
      <c r="D77" s="41"/>
      <c r="E77" s="41"/>
      <c r="F77" s="43"/>
      <c r="G77" s="43"/>
      <c r="H77" s="43"/>
      <c r="I77" s="43"/>
      <c r="J77" s="43"/>
      <c r="K77" s="43"/>
      <c r="L77" s="43"/>
      <c r="M77" s="69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ht="13.5" thickBot="1" x14ac:dyDescent="0.25">
      <c r="A78" s="66" t="s">
        <v>11</v>
      </c>
      <c r="B78" s="125">
        <v>1.5</v>
      </c>
      <c r="C78" s="52" t="s">
        <v>12</v>
      </c>
      <c r="D78" s="43"/>
      <c r="E78" s="43"/>
      <c r="F78" s="43">
        <f t="shared" ref="F78:M78" si="20">O32*$B$78</f>
        <v>256.125</v>
      </c>
      <c r="G78" s="43">
        <f t="shared" si="20"/>
        <v>273.375</v>
      </c>
      <c r="H78" s="43">
        <f t="shared" si="20"/>
        <v>291.74999999999994</v>
      </c>
      <c r="I78" s="43">
        <f t="shared" si="20"/>
        <v>311.25000000000006</v>
      </c>
      <c r="J78" s="43">
        <f t="shared" si="20"/>
        <v>332.0625</v>
      </c>
      <c r="K78" s="43">
        <f t="shared" si="20"/>
        <v>354.1875</v>
      </c>
      <c r="L78" s="43">
        <f t="shared" si="20"/>
        <v>377.81249999999994</v>
      </c>
      <c r="M78" s="69">
        <f t="shared" si="20"/>
        <v>403.125</v>
      </c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ht="13.5" thickBot="1" x14ac:dyDescent="0.25">
      <c r="A79" s="66" t="s">
        <v>13</v>
      </c>
      <c r="B79" s="126">
        <v>0.04</v>
      </c>
      <c r="C79" s="54" t="s">
        <v>14</v>
      </c>
      <c r="D79" s="43"/>
      <c r="E79" s="43"/>
      <c r="F79" s="43">
        <f t="shared" ref="F79:M79" si="21">(E75+F78/2)*$B$79*((F65-E65)*30.4)/365</f>
        <v>17.201764208219149</v>
      </c>
      <c r="G79" s="43">
        <f t="shared" si="21"/>
        <v>21.540004037260278</v>
      </c>
      <c r="H79" s="43">
        <f t="shared" si="21"/>
        <v>22.749407736986306</v>
      </c>
      <c r="I79" s="43">
        <f t="shared" si="21"/>
        <v>22.976364767123293</v>
      </c>
      <c r="J79" s="43">
        <f t="shared" si="21"/>
        <v>24.829025095890419</v>
      </c>
      <c r="K79" s="43">
        <f t="shared" si="21"/>
        <v>54.955125281095945</v>
      </c>
      <c r="L79" s="43">
        <f t="shared" si="21"/>
        <v>27.586975561643847</v>
      </c>
      <c r="M79" s="69">
        <f t="shared" si="21"/>
        <v>28.982052591780832</v>
      </c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x14ac:dyDescent="0.2">
      <c r="A80" s="67" t="s">
        <v>101</v>
      </c>
      <c r="B80" s="55" t="s">
        <v>15</v>
      </c>
      <c r="C80" s="43"/>
      <c r="D80" s="43"/>
      <c r="E80" s="43"/>
      <c r="F80" s="43">
        <f>F78*0.15</f>
        <v>38.418749999999996</v>
      </c>
      <c r="G80" s="43">
        <f t="shared" ref="G80:M80" si="22">G78*0.15</f>
        <v>41.006250000000001</v>
      </c>
      <c r="H80" s="43">
        <f t="shared" si="22"/>
        <v>43.762499999999989</v>
      </c>
      <c r="I80" s="43">
        <f t="shared" si="22"/>
        <v>46.687500000000007</v>
      </c>
      <c r="J80" s="43">
        <f t="shared" si="22"/>
        <v>49.809374999999996</v>
      </c>
      <c r="K80" s="43">
        <f t="shared" si="22"/>
        <v>53.128124999999997</v>
      </c>
      <c r="L80" s="43">
        <f t="shared" si="22"/>
        <v>56.671874999999993</v>
      </c>
      <c r="M80" s="69">
        <f t="shared" si="22"/>
        <v>60.46875</v>
      </c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ht="12.75" thickBot="1" x14ac:dyDescent="0.25">
      <c r="A81" s="70" t="s">
        <v>114</v>
      </c>
      <c r="B81" s="71"/>
      <c r="C81" s="72"/>
      <c r="D81" s="72"/>
      <c r="E81" s="72"/>
      <c r="F81" s="72">
        <f t="shared" ref="F81:M81" si="23">F76-F78-F79-F80</f>
        <v>981.81496079178191</v>
      </c>
      <c r="G81" s="72">
        <f t="shared" si="23"/>
        <v>17.911270962739529</v>
      </c>
      <c r="H81" s="72">
        <f t="shared" si="23"/>
        <v>-299.88747023698568</v>
      </c>
      <c r="I81" s="72">
        <f t="shared" si="23"/>
        <v>164.7826977328769</v>
      </c>
      <c r="J81" s="72">
        <f t="shared" si="23"/>
        <v>-15.518337595889371</v>
      </c>
      <c r="K81" s="72">
        <f t="shared" si="23"/>
        <v>-48.489562781096183</v>
      </c>
      <c r="L81" s="72">
        <f t="shared" si="23"/>
        <v>-55.975038061643943</v>
      </c>
      <c r="M81" s="73">
        <f t="shared" si="23"/>
        <v>-146.81586509177811</v>
      </c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ht="13.5" thickBot="1" x14ac:dyDescent="0.25">
      <c r="A82" s="117" t="s">
        <v>113</v>
      </c>
      <c r="B82" s="74"/>
      <c r="C82" s="74"/>
      <c r="D82" s="74"/>
      <c r="E82" s="74"/>
      <c r="F82" s="75">
        <f t="shared" ref="F82:M82" si="24">E82+F81</f>
        <v>981.81496079178191</v>
      </c>
      <c r="G82" s="75">
        <f t="shared" si="24"/>
        <v>999.72623175452145</v>
      </c>
      <c r="H82" s="75">
        <f t="shared" si="24"/>
        <v>699.83876151753577</v>
      </c>
      <c r="I82" s="75">
        <f t="shared" si="24"/>
        <v>864.62145925041273</v>
      </c>
      <c r="J82" s="75">
        <f t="shared" si="24"/>
        <v>849.10312165452331</v>
      </c>
      <c r="K82" s="75">
        <f t="shared" si="24"/>
        <v>800.61355887342711</v>
      </c>
      <c r="L82" s="75">
        <f t="shared" si="24"/>
        <v>744.63852081178311</v>
      </c>
      <c r="M82" s="76">
        <f t="shared" si="24"/>
        <v>597.82265572000506</v>
      </c>
      <c r="O82" s="127"/>
      <c r="P82" s="127"/>
      <c r="Q82" s="127"/>
      <c r="R82" s="127"/>
      <c r="S82" s="127"/>
      <c r="T82" s="127"/>
      <c r="U82" s="127"/>
      <c r="V82" s="127"/>
      <c r="W82" s="127"/>
      <c r="X82" s="127"/>
    </row>
    <row r="83" spans="1:24" hidden="1" x14ac:dyDescent="0.2">
      <c r="A83" t="s">
        <v>16</v>
      </c>
      <c r="C83" s="8"/>
      <c r="D83" s="8"/>
      <c r="E83" s="8"/>
      <c r="F83" s="8">
        <f>F81/((F65-E65)*30.4)</f>
        <v>32.296544762887621</v>
      </c>
      <c r="G83" s="8">
        <f t="shared" ref="G83:M83" si="25">G81/((G65-F65)*30.4)</f>
        <v>0.5891865448269582</v>
      </c>
      <c r="H83" s="8">
        <f t="shared" si="25"/>
        <v>-9.8647194156903186</v>
      </c>
      <c r="I83" s="8">
        <f t="shared" si="25"/>
        <v>5.4204834780551616</v>
      </c>
      <c r="J83" s="8">
        <f t="shared" si="25"/>
        <v>-0.51047163144372931</v>
      </c>
      <c r="K83" s="8">
        <f t="shared" si="25"/>
        <v>-0.75954828917757133</v>
      </c>
      <c r="L83" s="8">
        <f t="shared" si="25"/>
        <v>-1.8412841467646035</v>
      </c>
      <c r="M83" s="8">
        <f t="shared" si="25"/>
        <v>-4.8294692464400697</v>
      </c>
      <c r="O83" s="127"/>
      <c r="P83" s="127"/>
      <c r="Q83" s="127"/>
      <c r="R83" s="127"/>
      <c r="S83" s="127"/>
      <c r="T83" s="127"/>
      <c r="U83" s="127"/>
      <c r="V83" s="127"/>
      <c r="W83" s="127"/>
      <c r="X83" s="127"/>
    </row>
    <row r="84" spans="1:24" x14ac:dyDescent="0.2">
      <c r="A84" s="127"/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ht="13.5" thickBot="1" x14ac:dyDescent="0.25">
      <c r="A85" s="135" t="s">
        <v>109</v>
      </c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ht="12.75" hidden="1" thickBot="1" x14ac:dyDescent="0.25">
      <c r="C86" s="8"/>
      <c r="D86" s="8"/>
      <c r="E86" s="33">
        <f t="shared" ref="E86:M86" si="26">$B$60+E89*30.4</f>
        <v>43883.72</v>
      </c>
      <c r="F86" s="33">
        <f t="shared" si="26"/>
        <v>43905</v>
      </c>
      <c r="G86" s="33">
        <f t="shared" si="26"/>
        <v>43926.28</v>
      </c>
      <c r="H86" s="33">
        <f t="shared" si="26"/>
        <v>43950.6</v>
      </c>
      <c r="I86" s="33">
        <f t="shared" si="26"/>
        <v>43977.96</v>
      </c>
      <c r="J86" s="33">
        <f t="shared" si="26"/>
        <v>44005.32</v>
      </c>
      <c r="K86" s="33">
        <f t="shared" si="26"/>
        <v>44029.64</v>
      </c>
      <c r="L86" s="33">
        <f t="shared" si="26"/>
        <v>44053.96</v>
      </c>
      <c r="M86" s="33">
        <f t="shared" si="26"/>
        <v>44081.32</v>
      </c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ht="13.5" thickBot="1" x14ac:dyDescent="0.25">
      <c r="A87" s="136" t="s">
        <v>107</v>
      </c>
      <c r="B87" s="137"/>
      <c r="C87" s="90"/>
      <c r="D87" s="119"/>
      <c r="E87" s="91"/>
      <c r="F87" s="91"/>
      <c r="G87" s="91"/>
      <c r="H87" s="91"/>
      <c r="I87" s="91"/>
      <c r="J87" s="91"/>
      <c r="K87" s="91"/>
      <c r="L87" s="91"/>
      <c r="M87" s="92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ht="13.5" thickTop="1" x14ac:dyDescent="0.2">
      <c r="A88" s="93" t="str">
        <f t="shared" ref="A88:A106" si="27">A64</f>
        <v>Tidspunkt for alder i måneder</v>
      </c>
      <c r="B88" s="88"/>
      <c r="C88" s="89"/>
      <c r="D88" s="45"/>
      <c r="E88" s="46">
        <f>E86</f>
        <v>43883.72</v>
      </c>
      <c r="F88" s="46">
        <f t="shared" ref="F88:M88" si="28">F86</f>
        <v>43905</v>
      </c>
      <c r="G88" s="46">
        <f t="shared" si="28"/>
        <v>43926.28</v>
      </c>
      <c r="H88" s="46">
        <f t="shared" si="28"/>
        <v>43950.6</v>
      </c>
      <c r="I88" s="46">
        <f t="shared" si="28"/>
        <v>43977.96</v>
      </c>
      <c r="J88" s="46">
        <f t="shared" si="28"/>
        <v>44005.32</v>
      </c>
      <c r="K88" s="46">
        <f t="shared" si="28"/>
        <v>44029.64</v>
      </c>
      <c r="L88" s="46">
        <f t="shared" si="28"/>
        <v>44053.96</v>
      </c>
      <c r="M88" s="94">
        <f t="shared" si="28"/>
        <v>44081.32</v>
      </c>
      <c r="O88" s="127"/>
      <c r="P88" s="127"/>
      <c r="Q88" s="127"/>
      <c r="R88" s="127"/>
      <c r="S88" s="127"/>
      <c r="T88" s="127"/>
      <c r="U88" s="127"/>
      <c r="V88" s="127"/>
      <c r="W88" s="127"/>
      <c r="X88" s="127"/>
    </row>
    <row r="89" spans="1:24" ht="13.5" thickBot="1" x14ac:dyDescent="0.25">
      <c r="A89" s="100" t="str">
        <f t="shared" si="27"/>
        <v>Alder, måneder</v>
      </c>
      <c r="B89" s="101"/>
      <c r="C89" s="102"/>
      <c r="D89" s="102"/>
      <c r="E89" s="110">
        <v>11.8</v>
      </c>
      <c r="F89" s="110">
        <v>12.5</v>
      </c>
      <c r="G89" s="110">
        <v>13.2</v>
      </c>
      <c r="H89" s="110">
        <v>14</v>
      </c>
      <c r="I89" s="110">
        <v>14.9</v>
      </c>
      <c r="J89" s="110">
        <v>15.8</v>
      </c>
      <c r="K89" s="110">
        <v>16.600000000000001</v>
      </c>
      <c r="L89" s="110">
        <v>17.399999999999999</v>
      </c>
      <c r="M89" s="111">
        <v>18.3</v>
      </c>
      <c r="O89" s="127"/>
      <c r="P89" s="127"/>
      <c r="Q89" s="127"/>
      <c r="R89" s="127"/>
      <c r="S89" s="127"/>
      <c r="T89" s="127"/>
      <c r="U89" s="127"/>
      <c r="V89" s="127"/>
      <c r="W89" s="127"/>
      <c r="X89" s="127"/>
    </row>
    <row r="90" spans="1:24" ht="13.5" thickBot="1" x14ac:dyDescent="0.25">
      <c r="A90" s="114" t="str">
        <f t="shared" si="27"/>
        <v>Forventet levendevægt, kg</v>
      </c>
      <c r="B90" s="105"/>
      <c r="C90" s="106"/>
      <c r="D90" s="106"/>
      <c r="E90" s="115">
        <v>400</v>
      </c>
      <c r="F90" s="115">
        <v>425</v>
      </c>
      <c r="G90" s="115">
        <v>450</v>
      </c>
      <c r="H90" s="115">
        <v>475</v>
      </c>
      <c r="I90" s="115">
        <v>500</v>
      </c>
      <c r="J90" s="115">
        <v>525</v>
      </c>
      <c r="K90" s="115">
        <v>550</v>
      </c>
      <c r="L90" s="115">
        <v>575</v>
      </c>
      <c r="M90" s="116">
        <v>600</v>
      </c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ht="12.75" hidden="1" x14ac:dyDescent="0.2">
      <c r="A91" s="93" t="str">
        <f t="shared" si="27"/>
        <v xml:space="preserve">Slagteprocent </v>
      </c>
      <c r="B91" s="88"/>
      <c r="C91" s="89"/>
      <c r="D91" s="89"/>
      <c r="E91" s="112">
        <v>0.51800000000000002</v>
      </c>
      <c r="F91" s="112">
        <f>E91+((F90-E90)/100)*$N$67</f>
        <v>0.52075000000000005</v>
      </c>
      <c r="G91" s="112">
        <f t="shared" ref="G91:M91" si="29">F91+((G90-F90)/100)*$N$67</f>
        <v>0.52350000000000008</v>
      </c>
      <c r="H91" s="112">
        <f t="shared" si="29"/>
        <v>0.52625000000000011</v>
      </c>
      <c r="I91" s="112">
        <f t="shared" si="29"/>
        <v>0.52900000000000014</v>
      </c>
      <c r="J91" s="112">
        <f t="shared" si="29"/>
        <v>0.53175000000000017</v>
      </c>
      <c r="K91" s="112">
        <f t="shared" si="29"/>
        <v>0.5345000000000002</v>
      </c>
      <c r="L91" s="112">
        <f t="shared" si="29"/>
        <v>0.53725000000000023</v>
      </c>
      <c r="M91" s="113">
        <f t="shared" si="29"/>
        <v>0.54000000000000026</v>
      </c>
      <c r="N91" s="7">
        <v>1.0999999999999999E-2</v>
      </c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ht="12.75" hidden="1" x14ac:dyDescent="0.2">
      <c r="A92" s="95" t="str">
        <f t="shared" si="27"/>
        <v>Form</v>
      </c>
      <c r="B92" s="44"/>
      <c r="C92" s="45"/>
      <c r="D92" s="45"/>
      <c r="E92" s="45">
        <v>3.38</v>
      </c>
      <c r="F92" s="45">
        <f>E92+(F90-E90)/100*$N$68</f>
        <v>3.5049999999999999</v>
      </c>
      <c r="G92" s="45">
        <f t="shared" ref="G92:M92" si="30">F92+(G90-F90)/100*$N$68</f>
        <v>3.63</v>
      </c>
      <c r="H92" s="45">
        <f t="shared" si="30"/>
        <v>3.7549999999999999</v>
      </c>
      <c r="I92" s="45">
        <f t="shared" si="30"/>
        <v>3.88</v>
      </c>
      <c r="J92" s="45">
        <f t="shared" si="30"/>
        <v>4.0049999999999999</v>
      </c>
      <c r="K92" s="45">
        <f t="shared" si="30"/>
        <v>4.13</v>
      </c>
      <c r="L92" s="45">
        <f t="shared" si="30"/>
        <v>4.2549999999999999</v>
      </c>
      <c r="M92" s="96">
        <f t="shared" si="30"/>
        <v>4.38</v>
      </c>
      <c r="N92">
        <v>0.5</v>
      </c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ht="12.75" x14ac:dyDescent="0.2">
      <c r="A93" s="95" t="str">
        <f t="shared" si="27"/>
        <v>Slagtevægt, kg</v>
      </c>
      <c r="B93" s="44"/>
      <c r="C93" s="45"/>
      <c r="D93" s="45"/>
      <c r="E93" s="47">
        <f t="shared" ref="E93:M93" si="31">E90*E91</f>
        <v>207.20000000000002</v>
      </c>
      <c r="F93" s="48">
        <f t="shared" si="31"/>
        <v>221.31875000000002</v>
      </c>
      <c r="G93" s="48">
        <f t="shared" si="31"/>
        <v>235.57500000000005</v>
      </c>
      <c r="H93" s="48">
        <f t="shared" si="31"/>
        <v>249.96875000000006</v>
      </c>
      <c r="I93" s="48">
        <f t="shared" si="31"/>
        <v>264.50000000000006</v>
      </c>
      <c r="J93" s="48">
        <f t="shared" si="31"/>
        <v>279.1687500000001</v>
      </c>
      <c r="K93" s="48">
        <f t="shared" si="31"/>
        <v>293.97500000000014</v>
      </c>
      <c r="L93" s="48">
        <f t="shared" si="31"/>
        <v>308.91875000000016</v>
      </c>
      <c r="M93" s="97">
        <f t="shared" si="31"/>
        <v>324.00000000000017</v>
      </c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ht="12.75" x14ac:dyDescent="0.2">
      <c r="A94" s="64" t="str">
        <f t="shared" si="27"/>
        <v>DC-notering inkl. 0,80 kr. efterbetaling</v>
      </c>
      <c r="B94" s="41"/>
      <c r="C94" s="39"/>
      <c r="D94" s="39"/>
      <c r="E94" s="39">
        <f>17.7+0.84+0.38+0.8</f>
        <v>19.72</v>
      </c>
      <c r="F94" s="39">
        <f>17.7+1.28+0.51+0.8</f>
        <v>20.290000000000003</v>
      </c>
      <c r="G94" s="39">
        <f>17.7+1.75+0.63+0.8</f>
        <v>20.88</v>
      </c>
      <c r="H94" s="39">
        <f>17.7+2.19+0.76+0.8</f>
        <v>21.450000000000003</v>
      </c>
      <c r="I94" s="39">
        <f>20.2-0.07+0.88+0.8</f>
        <v>21.81</v>
      </c>
      <c r="J94" s="39">
        <f>21.2-0.19+0.007+0.8</f>
        <v>21.817</v>
      </c>
      <c r="K94" s="39">
        <f>21.2-0.35+0.09+0.8</f>
        <v>21.74</v>
      </c>
      <c r="L94" s="39">
        <f>21.2-0.5+0.18+0.8</f>
        <v>21.68</v>
      </c>
      <c r="M94" s="65">
        <f>21.2-0.66+0.27+0.8</f>
        <v>21.61</v>
      </c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ht="12.75" x14ac:dyDescent="0.2">
      <c r="A95" s="64" t="str">
        <f t="shared" si="27"/>
        <v>Variabelt økologitillæg, kr./kg</v>
      </c>
      <c r="B95" s="41"/>
      <c r="C95" s="39"/>
      <c r="D95" s="39"/>
      <c r="E95" s="39">
        <f t="shared" ref="E95:M95" si="32">IF(AND(E88&gt;$B$167,E88&lt;$B$169),$C$168,IF(AND(E88&gt;$B$168,E88&lt;$B$170),$C$169,IF(AND(E88&gt;$B$169,E88&lt;$B$171),$C$170,IF(AND(E88&gt;$B$170,E88&lt;$B$172),$C$171,IF(AND(E88&gt;$B$171,E88&lt;$B$173),$C$172,IF(AND(E88&gt;$B$172,E88&lt;$B$174),$C$173,IF(AND(E88&gt;$B$173,E88&lt;$B$175),$C$174,IF(AND(E88&gt;$B$174,E88&lt;B$176),$C$175,IF(AND(E88&gt;$B$175,E88&lt;$B$177),$C$176,IF(AND(E88&gt;$B$176,E88&lt;$B$178),$C$177,IF(AND(E88&gt;$B$177,E88&lt;$B$179),$C$178,IF(AND(E88&gt;$B$178,E88&lt;$B$180),$C$179,IF(AND(E88&gt;$B$179,E88&lt;$B$181),$C$180,IF(AND(E88&gt;$B$180,E88&lt;$B$182),$C$181,IF(AND(E88&gt;$B$181,E88&lt;$B$183),$C$182,IF(AND(E88&gt;$B$182,E88&lt;$B$184),$C$183,IF(AND(E88&gt;$B$183,E88&lt;$B$185),$C$184,IF(AND(E88&gt;$B$184,E88&lt;$B$186),$C$185,IF(AND(E88&gt;$B$185,E88&lt;$B$187),$C$186,IF(AND(E88&gt;$B$186,E88&lt;$B$188),$C$187,IF(AND(E88&gt;$B$187,E88&lt;$B$189),$C$188,IF(AND(E88&gt;$B$188,E88&lt;$B$190),$C$189,IF(AND(E88&gt;$B$189,E88&lt;$B$191),$C$190,IF(AND(E88&gt;$B$190,E88&lt;B$192),C215,IF(AND(E88&gt;$B$191,E88&lt;$B$193),$C$192,IF(AND(E88&gt;$B$192,E88&lt;$B$194),$C$193,IF(AND(E88&gt;$B$193,E88&lt;$B$195),$C$194,IF(AND(E88&gt;$B$194,E88&lt;B42),$C$195,IF(AND(E88&gt;$B$195,E88&lt;$B$197),$C$196,IF(AND(E88&gt;$B$196,E88&lt;$B$198),$C$197,IF(AND(E88&gt;$B$197,E88&lt;$B$199),$C$198,IF(AND(E88&gt;$B$198,E88&lt;$B$200),$C$199,IF(AND(E88&gt;$B$199,E88&lt;$B$201),$C$200,IF(AND(E88&gt;$B$200,E88&lt;$B$202),$C$201,IF(AND(E88&gt;$B$201,E88&lt;$B$203),$C$202,IF(AND(E88&gt;$B$202,E88&lt;$B$204),$C$203,IF(AND(E88&gt;$B$203,E88&lt;$B$205),$C$204)))))))))))))))))))))))))))))))))))))</f>
        <v>3</v>
      </c>
      <c r="F95" s="39">
        <f t="shared" si="32"/>
        <v>3.5</v>
      </c>
      <c r="G95" s="39">
        <f t="shared" si="32"/>
        <v>4</v>
      </c>
      <c r="H95" s="39">
        <f t="shared" si="32"/>
        <v>4</v>
      </c>
      <c r="I95" s="39">
        <f t="shared" si="32"/>
        <v>4.25</v>
      </c>
      <c r="J95" s="39">
        <f t="shared" si="32"/>
        <v>5</v>
      </c>
      <c r="K95" s="39">
        <f t="shared" si="32"/>
        <v>5.5</v>
      </c>
      <c r="L95" s="39">
        <f t="shared" si="32"/>
        <v>5.5</v>
      </c>
      <c r="M95" s="65">
        <f t="shared" si="32"/>
        <v>6</v>
      </c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ht="12.75" x14ac:dyDescent="0.2">
      <c r="A96" s="64" t="str">
        <f t="shared" si="27"/>
        <v>Resttillæg (1,30 kr. pr. kg i 2019)</v>
      </c>
      <c r="B96" s="39">
        <f>B72</f>
        <v>1.3</v>
      </c>
      <c r="C96" s="39" t="str">
        <f>C72</f>
        <v>kr./kg</v>
      </c>
      <c r="D96" s="39"/>
      <c r="E96" s="39">
        <f>$B$72</f>
        <v>1.3</v>
      </c>
      <c r="F96" s="39">
        <f t="shared" ref="F96:M96" si="33">$B$72</f>
        <v>1.3</v>
      </c>
      <c r="G96" s="39">
        <f t="shared" si="33"/>
        <v>1.3</v>
      </c>
      <c r="H96" s="39">
        <f t="shared" si="33"/>
        <v>1.3</v>
      </c>
      <c r="I96" s="39">
        <f t="shared" si="33"/>
        <v>1.3</v>
      </c>
      <c r="J96" s="39">
        <f t="shared" si="33"/>
        <v>1.3</v>
      </c>
      <c r="K96" s="39">
        <f t="shared" si="33"/>
        <v>1.3</v>
      </c>
      <c r="L96" s="39">
        <f t="shared" si="33"/>
        <v>1.3</v>
      </c>
      <c r="M96" s="65">
        <f t="shared" si="33"/>
        <v>1.3</v>
      </c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ht="12.75" x14ac:dyDescent="0.2">
      <c r="A97" s="64" t="str">
        <f t="shared" si="27"/>
        <v xml:space="preserve">Kontrakttillæg, kr. kg </v>
      </c>
      <c r="B97" s="41"/>
      <c r="C97" s="39"/>
      <c r="D97" s="39"/>
      <c r="E97" s="39">
        <v>0</v>
      </c>
      <c r="F97" s="39">
        <f t="shared" ref="F97:M97" si="34">IF(AND(F88&gt;$B$168,F88&lt;$B$170),$D$169,IF(AND(F88&gt;$B$169,F88&lt;$B$171),$D$170,IF(AND(F88&gt;$B$170,F88&lt;$B$172),$D$171,IF(AND(F88&gt;$B$171,F88&lt;$B$173),$D$172,IF(AND(F88&gt;$B$172,F88&lt;$B$174),$D$173,IF(AND(F88&gt;$B$173,F88&lt;$B$175),$D$174,IF(AND(F88&gt;$B$174,F88&lt;$B$176),$D$175,IF(AND(F88&gt;$B$175,F88&lt;$B$177),$D$176,IF(AND(F88&gt;$B$176,F88&lt;$B$178),$D$177,IF(AND(F88&gt;$B$177,F88&lt;$B$179),$D$178,IF(AND(F88&gt;$B$178,F88&lt;$B$180),$D$179,IF(AND(F88&gt;$B$179,F88&lt;$B$181),$D$180,IF(AND(F88&gt;$B$180,F88&lt;$B$182),$D$181,IF(AND(F88&gt;$B$181,F88&lt;$B$183),$D$182,IF(AND(F88&gt;$B$182,F88&lt;$B$184),$D$183,IF(AND(F88&gt;$B$183,F88&lt;$B$185),$D$184,IF(AND(F88&gt;$B$184,F88&lt;$B$186),$D$185,IF(AND(F88&gt;$B$185,F88&lt;$B$187),$D$186,IF(AND(F88&gt;$B$186,F88&lt;$B$188),$D$187,IF(AND(F88&gt;$B$187,F88&lt;$B$189),$D$188,IF(AND(F88&gt;$B$188,F88&lt;$B$190),$D$189,IF(AND(F88&gt;$B$189,F88&lt;$B$191),$D$190,IF(AND(F88&gt;$B$190,F88&lt;$B$192),$D$191,IF(AND(F88&gt;$B$191,F88&lt;$B$193),$D$192,IF(AND(F88&gt;$B$192,F88&lt;$B$194),$D$193,IF(AND(F88&gt;$B$193,F88&lt;$B$195),$D$194,IF(AND(F88&gt;$B$194,F88&lt;C44),$D$195,IF(AND(F88&gt;$B$195,F88&lt;$B$197),$D$196,IF(AND(F88&gt;$B$196,F88&lt;$B$198),$D$197,IF(AND(F88&gt;$B$197,F88&lt;$B$199),$D$198,IF(AND(F88&gt;$B$198,F88&lt;$B$200),$D$199,IF(AND(F88&gt;$B$199,F88&lt;$B$201),$D$200,IF(AND(F88&gt;$B$200,F88&lt;$B$202),$D$201,IF(AND(F88&gt;$B$201,F88&lt;$B$203),$D$202,IF(AND(F88&gt;$B$202,F88&lt;$B$204),$D$203,IF(AND(F88&gt;$B$203,F88&lt;$B$205),$D$204))))))))))))))))))))))))))))))))))))</f>
        <v>0</v>
      </c>
      <c r="G97" s="39">
        <f t="shared" si="34"/>
        <v>2</v>
      </c>
      <c r="H97" s="39">
        <f t="shared" si="34"/>
        <v>2</v>
      </c>
      <c r="I97" s="39">
        <f t="shared" si="34"/>
        <v>3</v>
      </c>
      <c r="J97" s="39">
        <f t="shared" si="34"/>
        <v>3</v>
      </c>
      <c r="K97" s="39">
        <f t="shared" si="34"/>
        <v>3</v>
      </c>
      <c r="L97" s="39">
        <f t="shared" si="34"/>
        <v>2</v>
      </c>
      <c r="M97" s="65">
        <f t="shared" si="34"/>
        <v>0</v>
      </c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ht="12.75" x14ac:dyDescent="0.2">
      <c r="A98" s="64"/>
      <c r="B98" s="41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5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 ht="12.75" x14ac:dyDescent="0.2">
      <c r="A99" s="64" t="str">
        <f t="shared" si="27"/>
        <v>Afregning</v>
      </c>
      <c r="B99" s="41"/>
      <c r="C99" s="39"/>
      <c r="D99" s="39"/>
      <c r="E99" s="42">
        <f>E93*(E94+E95+E96+E97)</f>
        <v>4976.9440000000004</v>
      </c>
      <c r="F99" s="42">
        <f t="shared" ref="F99:M99" si="35">F93*(F94+F95+F96+F97)</f>
        <v>5552.8874375000014</v>
      </c>
      <c r="G99" s="42">
        <f t="shared" si="35"/>
        <v>6638.5035000000016</v>
      </c>
      <c r="H99" s="42">
        <f t="shared" si="35"/>
        <v>7186.6015625000027</v>
      </c>
      <c r="I99" s="42">
        <f t="shared" si="35"/>
        <v>8030.2200000000012</v>
      </c>
      <c r="J99" s="42">
        <f t="shared" si="35"/>
        <v>8686.8939937500036</v>
      </c>
      <c r="K99" s="42">
        <f t="shared" si="35"/>
        <v>9271.9715000000033</v>
      </c>
      <c r="L99" s="42">
        <f t="shared" si="35"/>
        <v>9415.8435000000045</v>
      </c>
      <c r="M99" s="68">
        <f t="shared" si="35"/>
        <v>9366.8400000000056</v>
      </c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ht="12.75" x14ac:dyDescent="0.2">
      <c r="A100" s="64" t="str">
        <f t="shared" si="27"/>
        <v>Forskel i afregning</v>
      </c>
      <c r="B100" s="41"/>
      <c r="C100" s="39"/>
      <c r="D100" s="39"/>
      <c r="E100" s="39"/>
      <c r="F100" s="43">
        <f t="shared" ref="F100:M100" si="36">F99-E99</f>
        <v>575.94343750000098</v>
      </c>
      <c r="G100" s="43">
        <f t="shared" si="36"/>
        <v>1085.6160625000002</v>
      </c>
      <c r="H100" s="43">
        <f t="shared" si="36"/>
        <v>548.09806250000111</v>
      </c>
      <c r="I100" s="43">
        <f t="shared" si="36"/>
        <v>843.61843749999844</v>
      </c>
      <c r="J100" s="43">
        <f t="shared" si="36"/>
        <v>656.67399375000241</v>
      </c>
      <c r="K100" s="43">
        <f t="shared" si="36"/>
        <v>585.07750624999971</v>
      </c>
      <c r="L100" s="43">
        <f t="shared" si="36"/>
        <v>143.87200000000121</v>
      </c>
      <c r="M100" s="69">
        <f t="shared" si="36"/>
        <v>-49.003499999998894</v>
      </c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ht="13.5" thickBot="1" x14ac:dyDescent="0.25">
      <c r="A101" s="64"/>
      <c r="B101" s="5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65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ht="13.5" thickBot="1" x14ac:dyDescent="0.25">
      <c r="A102" s="66" t="str">
        <f t="shared" si="27"/>
        <v>Marginal foderomkostning, kr</v>
      </c>
      <c r="B102" s="125">
        <v>2.2000000000000002</v>
      </c>
      <c r="C102" s="52" t="s">
        <v>12</v>
      </c>
      <c r="D102" s="39"/>
      <c r="E102" s="39"/>
      <c r="F102" s="43">
        <f t="shared" ref="F102:M102" si="37">O48*$B$102</f>
        <v>381.42500000000001</v>
      </c>
      <c r="G102" s="43">
        <f t="shared" si="37"/>
        <v>406.72500000000002</v>
      </c>
      <c r="H102" s="43">
        <f t="shared" si="37"/>
        <v>433.40000000000009</v>
      </c>
      <c r="I102" s="43">
        <f t="shared" si="37"/>
        <v>462.00000000000006</v>
      </c>
      <c r="J102" s="43">
        <f t="shared" si="37"/>
        <v>492.80000000000013</v>
      </c>
      <c r="K102" s="43">
        <f t="shared" si="37"/>
        <v>525.52500000000009</v>
      </c>
      <c r="L102" s="43">
        <f t="shared" si="37"/>
        <v>560.17499999999995</v>
      </c>
      <c r="M102" s="69">
        <f t="shared" si="37"/>
        <v>597.02500000000009</v>
      </c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</row>
    <row r="103" spans="1:24" ht="12.75" x14ac:dyDescent="0.2">
      <c r="A103" s="64" t="str">
        <f t="shared" si="27"/>
        <v xml:space="preserve">Forrentning, kr. </v>
      </c>
      <c r="B103" s="56">
        <f>B79</f>
        <v>0.04</v>
      </c>
      <c r="C103" s="41" t="s">
        <v>14</v>
      </c>
      <c r="D103" s="39"/>
      <c r="E103" s="39"/>
      <c r="F103" s="43">
        <f>(E99+F102/2)*$B$103*((F89-E89)*30.4)/365</f>
        <v>12.051258117260263</v>
      </c>
      <c r="G103" s="43">
        <f t="shared" ref="G103:M103" si="38">(F99+G102/2)*$B$103*((G89-F89)*30.4)/365</f>
        <v>13.423890265205468</v>
      </c>
      <c r="H103" s="43">
        <f t="shared" si="38"/>
        <v>18.270525930958925</v>
      </c>
      <c r="I103" s="43">
        <f t="shared" si="38"/>
        <v>22.240611369863032</v>
      </c>
      <c r="J103" s="43">
        <f t="shared" si="38"/>
        <v>24.816254597260283</v>
      </c>
      <c r="K103" s="43">
        <f t="shared" si="38"/>
        <v>23.852673526356195</v>
      </c>
      <c r="L103" s="43">
        <f t="shared" si="38"/>
        <v>25.45819998684923</v>
      </c>
      <c r="M103" s="69">
        <f t="shared" si="38"/>
        <v>29.127099195616523</v>
      </c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</row>
    <row r="104" spans="1:24" ht="12.75" x14ac:dyDescent="0.2">
      <c r="A104" s="64" t="str">
        <f t="shared" si="27"/>
        <v>Div. omkostninger</v>
      </c>
      <c r="B104" s="41" t="s">
        <v>15</v>
      </c>
      <c r="C104" s="39"/>
      <c r="D104" s="39"/>
      <c r="E104" s="39"/>
      <c r="F104" s="43">
        <f>F102*0.15</f>
        <v>57.213749999999997</v>
      </c>
      <c r="G104" s="43">
        <f t="shared" ref="G104:M104" si="39">G102*0.15</f>
        <v>61.008749999999999</v>
      </c>
      <c r="H104" s="43">
        <f t="shared" si="39"/>
        <v>65.010000000000005</v>
      </c>
      <c r="I104" s="43">
        <f t="shared" si="39"/>
        <v>69.300000000000011</v>
      </c>
      <c r="J104" s="43">
        <f t="shared" si="39"/>
        <v>73.920000000000016</v>
      </c>
      <c r="K104" s="43">
        <f t="shared" si="39"/>
        <v>78.828750000000014</v>
      </c>
      <c r="L104" s="43">
        <f t="shared" si="39"/>
        <v>84.02624999999999</v>
      </c>
      <c r="M104" s="69">
        <f t="shared" si="39"/>
        <v>89.553750000000008</v>
      </c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ht="13.5" thickBot="1" x14ac:dyDescent="0.25">
      <c r="A105" s="100" t="str">
        <f t="shared" si="27"/>
        <v>Marginal restbeløb pr. 25 kg ekstra levende vægt (ekskl. strøelse)</v>
      </c>
      <c r="B105" s="101"/>
      <c r="C105" s="102"/>
      <c r="D105" s="102"/>
      <c r="E105" s="102"/>
      <c r="F105" s="103">
        <f t="shared" ref="F105" si="40">F100-F102-F103-F104</f>
        <v>125.25342938274071</v>
      </c>
      <c r="G105" s="103">
        <f t="shared" ref="G105:M105" si="41">G100-G102-G103-G104</f>
        <v>604.45842223479474</v>
      </c>
      <c r="H105" s="103">
        <f t="shared" si="41"/>
        <v>31.417536569042085</v>
      </c>
      <c r="I105" s="103">
        <f t="shared" si="41"/>
        <v>290.07782613013535</v>
      </c>
      <c r="J105" s="103">
        <f t="shared" si="41"/>
        <v>65.137739152741972</v>
      </c>
      <c r="K105" s="103">
        <f t="shared" si="41"/>
        <v>-43.128917276356589</v>
      </c>
      <c r="L105" s="103">
        <f t="shared" si="41"/>
        <v>-525.78744998684795</v>
      </c>
      <c r="M105" s="104">
        <f t="shared" si="41"/>
        <v>-764.70934919561557</v>
      </c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</row>
    <row r="106" spans="1:24" ht="13.5" thickBot="1" x14ac:dyDescent="0.25">
      <c r="A106" s="118" t="str">
        <f t="shared" si="27"/>
        <v>Øget restbeløb fra 400 kg levende vægt (ekskl. strøelse)</v>
      </c>
      <c r="B106" s="105"/>
      <c r="C106" s="106"/>
      <c r="D106" s="106"/>
      <c r="E106" s="107"/>
      <c r="F106" s="108">
        <f t="shared" ref="F106" si="42">E106+F105</f>
        <v>125.25342938274071</v>
      </c>
      <c r="G106" s="108">
        <f t="shared" ref="G106" si="43">F106+G105</f>
        <v>729.71185161753544</v>
      </c>
      <c r="H106" s="108">
        <f t="shared" ref="H106" si="44">G106+H105</f>
        <v>761.12938818657756</v>
      </c>
      <c r="I106" s="108">
        <f t="shared" ref="I106" si="45">H106+I105</f>
        <v>1051.2072143167129</v>
      </c>
      <c r="J106" s="108">
        <f t="shared" ref="J106" si="46">I106+J105</f>
        <v>1116.3449534694548</v>
      </c>
      <c r="K106" s="108">
        <f t="shared" ref="K106" si="47">J106+K105</f>
        <v>1073.2160361930983</v>
      </c>
      <c r="L106" s="108">
        <f t="shared" ref="L106" si="48">K106+L105</f>
        <v>547.42858620625032</v>
      </c>
      <c r="M106" s="109">
        <f t="shared" ref="M106" si="49">L106+M105</f>
        <v>-217.28076298936526</v>
      </c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</row>
    <row r="107" spans="1:24" hidden="1" x14ac:dyDescent="0.2">
      <c r="A107" t="s">
        <v>16</v>
      </c>
      <c r="C107" s="8"/>
      <c r="D107" s="8"/>
      <c r="E107" s="8"/>
      <c r="F107" s="8">
        <f>F105/((F89-E89)*30.4)</f>
        <v>5.8859694258806785</v>
      </c>
      <c r="G107" s="8">
        <f t="shared" ref="G107:M107" si="50">G105/((G89-F89)*30.4)</f>
        <v>28.405001044868204</v>
      </c>
      <c r="H107" s="8">
        <f t="shared" si="50"/>
        <v>1.2918394970823215</v>
      </c>
      <c r="I107" s="8">
        <f t="shared" si="50"/>
        <v>10.602259726978627</v>
      </c>
      <c r="J107" s="8">
        <f t="shared" si="50"/>
        <v>2.3807653199101591</v>
      </c>
      <c r="K107" s="8">
        <f t="shared" si="50"/>
        <v>-1.773392980113345</v>
      </c>
      <c r="L107" s="8">
        <f t="shared" si="50"/>
        <v>-21.61954975274876</v>
      </c>
      <c r="M107" s="8">
        <f t="shared" si="50"/>
        <v>-27.949903113874772</v>
      </c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x14ac:dyDescent="0.2">
      <c r="A108" s="127"/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24" ht="12.75" hidden="1" x14ac:dyDescent="0.2">
      <c r="B110" s="5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24" hidden="1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24" hidden="1" x14ac:dyDescent="0.2">
      <c r="B112" t="s">
        <v>17</v>
      </c>
      <c r="C112" t="s">
        <v>18</v>
      </c>
      <c r="D112" t="s">
        <v>19</v>
      </c>
    </row>
    <row r="113" spans="1:4" hidden="1" x14ac:dyDescent="0.2"/>
    <row r="114" spans="1:4" hidden="1" x14ac:dyDescent="0.2">
      <c r="A114" t="s">
        <v>20</v>
      </c>
      <c r="B114" s="13">
        <v>43831</v>
      </c>
      <c r="C114" s="14">
        <v>3</v>
      </c>
      <c r="D114" s="14">
        <v>0</v>
      </c>
    </row>
    <row r="115" spans="1:4" hidden="1" x14ac:dyDescent="0.2">
      <c r="A115" t="s">
        <v>21</v>
      </c>
      <c r="B115" s="13"/>
      <c r="C115" s="14">
        <v>3</v>
      </c>
      <c r="D115" s="14">
        <v>0</v>
      </c>
    </row>
    <row r="116" spans="1:4" hidden="1" x14ac:dyDescent="0.2">
      <c r="A116" t="s">
        <v>22</v>
      </c>
      <c r="B116" s="13"/>
      <c r="C116" s="14">
        <v>3</v>
      </c>
      <c r="D116" s="14">
        <v>0</v>
      </c>
    </row>
    <row r="117" spans="1:4" hidden="1" x14ac:dyDescent="0.2">
      <c r="A117" t="s">
        <v>23</v>
      </c>
      <c r="B117" s="13"/>
      <c r="C117" s="14">
        <v>3</v>
      </c>
      <c r="D117" s="14">
        <v>0</v>
      </c>
    </row>
    <row r="118" spans="1:4" hidden="1" x14ac:dyDescent="0.2">
      <c r="A118" t="s">
        <v>24</v>
      </c>
      <c r="B118" s="13">
        <v>43862</v>
      </c>
      <c r="C118" s="14">
        <v>3</v>
      </c>
      <c r="D118" s="14">
        <v>0</v>
      </c>
    </row>
    <row r="119" spans="1:4" hidden="1" x14ac:dyDescent="0.2">
      <c r="A119" t="s">
        <v>25</v>
      </c>
      <c r="B119" s="13"/>
      <c r="C119" s="14">
        <v>3</v>
      </c>
      <c r="D119" s="14">
        <v>0</v>
      </c>
    </row>
    <row r="120" spans="1:4" hidden="1" x14ac:dyDescent="0.2">
      <c r="A120" t="s">
        <v>26</v>
      </c>
      <c r="B120" s="13"/>
      <c r="C120" s="14">
        <v>3</v>
      </c>
      <c r="D120" s="14">
        <v>0</v>
      </c>
    </row>
    <row r="121" spans="1:4" hidden="1" x14ac:dyDescent="0.2">
      <c r="A121" t="s">
        <v>27</v>
      </c>
      <c r="B121" s="13"/>
      <c r="C121" s="14">
        <v>3</v>
      </c>
      <c r="D121" s="14">
        <v>0</v>
      </c>
    </row>
    <row r="122" spans="1:4" hidden="1" x14ac:dyDescent="0.2">
      <c r="A122" t="s">
        <v>28</v>
      </c>
      <c r="B122" s="13">
        <v>43891</v>
      </c>
      <c r="C122" s="14">
        <v>3.25</v>
      </c>
      <c r="D122" s="14">
        <v>0</v>
      </c>
    </row>
    <row r="123" spans="1:4" hidden="1" x14ac:dyDescent="0.2">
      <c r="A123" t="s">
        <v>29</v>
      </c>
      <c r="B123" s="13"/>
      <c r="C123" s="14">
        <v>3.25</v>
      </c>
      <c r="D123" s="14">
        <v>0</v>
      </c>
    </row>
    <row r="124" spans="1:4" hidden="1" x14ac:dyDescent="0.2">
      <c r="A124" t="s">
        <v>30</v>
      </c>
      <c r="B124" s="13"/>
      <c r="C124" s="14">
        <v>3.5</v>
      </c>
      <c r="D124" s="14">
        <v>0</v>
      </c>
    </row>
    <row r="125" spans="1:4" hidden="1" x14ac:dyDescent="0.2">
      <c r="A125" t="s">
        <v>31</v>
      </c>
      <c r="B125" s="13">
        <v>43190</v>
      </c>
      <c r="C125" s="14">
        <v>3.5</v>
      </c>
      <c r="D125" s="14">
        <v>0</v>
      </c>
    </row>
    <row r="126" spans="1:4" hidden="1" x14ac:dyDescent="0.2">
      <c r="A126" t="s">
        <v>32</v>
      </c>
      <c r="B126" s="13">
        <v>43922</v>
      </c>
      <c r="C126" s="14">
        <v>4</v>
      </c>
      <c r="D126" s="14">
        <v>0</v>
      </c>
    </row>
    <row r="127" spans="1:4" hidden="1" x14ac:dyDescent="0.2">
      <c r="A127" t="s">
        <v>33</v>
      </c>
      <c r="B127" s="13"/>
      <c r="C127" s="14">
        <v>4</v>
      </c>
      <c r="D127" s="14">
        <v>2</v>
      </c>
    </row>
    <row r="128" spans="1:4" hidden="1" x14ac:dyDescent="0.2">
      <c r="A128" t="s">
        <v>34</v>
      </c>
      <c r="B128" s="13"/>
      <c r="C128" s="14">
        <v>4</v>
      </c>
      <c r="D128" s="14">
        <v>2</v>
      </c>
    </row>
    <row r="129" spans="1:4" hidden="1" x14ac:dyDescent="0.2">
      <c r="A129" t="s">
        <v>35</v>
      </c>
      <c r="B129" s="13"/>
      <c r="C129" s="14">
        <v>4.25</v>
      </c>
      <c r="D129" s="14">
        <v>2</v>
      </c>
    </row>
    <row r="130" spans="1:4" hidden="1" x14ac:dyDescent="0.2">
      <c r="A130" t="s">
        <v>36</v>
      </c>
      <c r="C130" s="14">
        <v>4.25</v>
      </c>
      <c r="D130" s="14">
        <v>2</v>
      </c>
    </row>
    <row r="131" spans="1:4" hidden="1" x14ac:dyDescent="0.2">
      <c r="A131" t="s">
        <v>37</v>
      </c>
      <c r="B131" s="13">
        <v>43952</v>
      </c>
      <c r="C131" s="14">
        <v>4.25</v>
      </c>
      <c r="D131" s="14">
        <v>3</v>
      </c>
    </row>
    <row r="132" spans="1:4" hidden="1" x14ac:dyDescent="0.2">
      <c r="A132" t="s">
        <v>38</v>
      </c>
      <c r="B132" s="13"/>
      <c r="C132" s="14">
        <v>4.25</v>
      </c>
      <c r="D132" s="14">
        <v>3</v>
      </c>
    </row>
    <row r="133" spans="1:4" hidden="1" x14ac:dyDescent="0.2">
      <c r="A133" t="s">
        <v>39</v>
      </c>
      <c r="B133" s="13"/>
      <c r="C133" s="14">
        <v>4.25</v>
      </c>
      <c r="D133" s="14">
        <v>3</v>
      </c>
    </row>
    <row r="134" spans="1:4" hidden="1" x14ac:dyDescent="0.2">
      <c r="A134" t="s">
        <v>40</v>
      </c>
      <c r="B134" s="13"/>
      <c r="C134" s="14">
        <v>4.25</v>
      </c>
      <c r="D134" s="14">
        <v>3</v>
      </c>
    </row>
    <row r="135" spans="1:4" hidden="1" x14ac:dyDescent="0.2">
      <c r="A135" t="s">
        <v>41</v>
      </c>
      <c r="B135" s="13">
        <v>43983</v>
      </c>
      <c r="C135" s="14">
        <v>4.75</v>
      </c>
      <c r="D135" s="14">
        <v>3</v>
      </c>
    </row>
    <row r="136" spans="1:4" hidden="1" x14ac:dyDescent="0.2">
      <c r="A136" t="s">
        <v>42</v>
      </c>
      <c r="B136" s="13"/>
      <c r="C136" s="14">
        <v>5</v>
      </c>
      <c r="D136" s="14">
        <v>3</v>
      </c>
    </row>
    <row r="137" spans="1:4" hidden="1" x14ac:dyDescent="0.2">
      <c r="A137" t="s">
        <v>43</v>
      </c>
      <c r="B137" s="13"/>
      <c r="C137" s="14">
        <v>5</v>
      </c>
      <c r="D137" s="14">
        <v>3</v>
      </c>
    </row>
    <row r="138" spans="1:4" hidden="1" x14ac:dyDescent="0.2">
      <c r="A138" t="s">
        <v>44</v>
      </c>
      <c r="B138" s="13"/>
      <c r="C138" s="14">
        <v>5</v>
      </c>
      <c r="D138" s="14">
        <v>3</v>
      </c>
    </row>
    <row r="139" spans="1:4" hidden="1" x14ac:dyDescent="0.2">
      <c r="A139" t="s">
        <v>45</v>
      </c>
      <c r="B139" s="13"/>
      <c r="C139" s="14">
        <v>5.5</v>
      </c>
      <c r="D139" s="14">
        <v>3</v>
      </c>
    </row>
    <row r="140" spans="1:4" hidden="1" x14ac:dyDescent="0.2">
      <c r="A140" t="s">
        <v>46</v>
      </c>
      <c r="B140" s="13">
        <v>44013</v>
      </c>
      <c r="C140" s="14">
        <v>6</v>
      </c>
      <c r="D140" s="14">
        <v>3</v>
      </c>
    </row>
    <row r="141" spans="1:4" hidden="1" x14ac:dyDescent="0.2">
      <c r="A141" t="s">
        <v>47</v>
      </c>
      <c r="B141" s="13"/>
      <c r="C141" s="14">
        <v>6.25</v>
      </c>
      <c r="D141" s="14">
        <v>3</v>
      </c>
    </row>
    <row r="142" spans="1:4" hidden="1" x14ac:dyDescent="0.2">
      <c r="A142" t="s">
        <v>48</v>
      </c>
      <c r="B142" s="13"/>
      <c r="C142" s="14">
        <v>6.25</v>
      </c>
      <c r="D142" s="14">
        <v>3</v>
      </c>
    </row>
    <row r="143" spans="1:4" hidden="1" x14ac:dyDescent="0.2">
      <c r="A143" t="s">
        <v>49</v>
      </c>
      <c r="B143" s="13"/>
      <c r="C143" s="14">
        <v>6.25</v>
      </c>
      <c r="D143" s="14">
        <v>3</v>
      </c>
    </row>
    <row r="144" spans="1:4" hidden="1" x14ac:dyDescent="0.2">
      <c r="A144" t="s">
        <v>50</v>
      </c>
      <c r="B144" s="13">
        <v>44044</v>
      </c>
      <c r="C144" s="14">
        <v>5.75</v>
      </c>
      <c r="D144" s="14">
        <v>2</v>
      </c>
    </row>
    <row r="145" spans="1:4" hidden="1" x14ac:dyDescent="0.2">
      <c r="A145" t="s">
        <v>51</v>
      </c>
      <c r="C145" s="14">
        <v>5.5</v>
      </c>
      <c r="D145" s="14">
        <v>2</v>
      </c>
    </row>
    <row r="146" spans="1:4" hidden="1" x14ac:dyDescent="0.2">
      <c r="A146" t="s">
        <v>52</v>
      </c>
      <c r="B146" s="13"/>
      <c r="C146" s="14">
        <v>5.5</v>
      </c>
      <c r="D146" s="14">
        <v>2</v>
      </c>
    </row>
    <row r="147" spans="1:4" hidden="1" x14ac:dyDescent="0.2">
      <c r="A147" t="s">
        <v>53</v>
      </c>
      <c r="B147" s="13"/>
      <c r="C147" s="14">
        <v>5.75</v>
      </c>
      <c r="D147" s="14">
        <v>2</v>
      </c>
    </row>
    <row r="148" spans="1:4" hidden="1" x14ac:dyDescent="0.2">
      <c r="A148" t="s">
        <v>54</v>
      </c>
      <c r="B148" s="13">
        <v>44075</v>
      </c>
      <c r="C148" s="14">
        <v>5.75</v>
      </c>
      <c r="D148" s="14">
        <v>0</v>
      </c>
    </row>
    <row r="149" spans="1:4" hidden="1" x14ac:dyDescent="0.2">
      <c r="A149" t="s">
        <v>55</v>
      </c>
      <c r="C149" s="14">
        <v>6</v>
      </c>
      <c r="D149" s="14">
        <v>0</v>
      </c>
    </row>
    <row r="150" spans="1:4" hidden="1" x14ac:dyDescent="0.2">
      <c r="A150" t="s">
        <v>56</v>
      </c>
      <c r="B150" s="13"/>
      <c r="C150" s="14">
        <v>6</v>
      </c>
      <c r="D150" s="14">
        <v>0</v>
      </c>
    </row>
    <row r="151" spans="1:4" hidden="1" x14ac:dyDescent="0.2">
      <c r="A151" t="s">
        <v>57</v>
      </c>
      <c r="B151" s="13"/>
      <c r="C151" s="14">
        <v>6</v>
      </c>
      <c r="D151" s="14">
        <v>0</v>
      </c>
    </row>
    <row r="152" spans="1:4" hidden="1" x14ac:dyDescent="0.2">
      <c r="A152" t="s">
        <v>58</v>
      </c>
      <c r="B152" s="13">
        <v>43738</v>
      </c>
      <c r="C152" s="14">
        <v>6</v>
      </c>
      <c r="D152" s="14">
        <v>0</v>
      </c>
    </row>
    <row r="153" spans="1:4" hidden="1" x14ac:dyDescent="0.2">
      <c r="A153" t="s">
        <v>59</v>
      </c>
      <c r="B153" s="13">
        <v>44105</v>
      </c>
      <c r="C153" s="14">
        <v>6</v>
      </c>
      <c r="D153" s="14">
        <v>0</v>
      </c>
    </row>
    <row r="154" spans="1:4" hidden="1" x14ac:dyDescent="0.2">
      <c r="A154" t="s">
        <v>60</v>
      </c>
      <c r="B154" s="13"/>
      <c r="C154" s="14">
        <v>5.5</v>
      </c>
      <c r="D154" s="14">
        <v>0</v>
      </c>
    </row>
    <row r="155" spans="1:4" hidden="1" x14ac:dyDescent="0.2">
      <c r="A155" t="s">
        <v>61</v>
      </c>
      <c r="B155" s="13"/>
      <c r="C155" s="14">
        <v>4.75</v>
      </c>
      <c r="D155" s="14">
        <v>0</v>
      </c>
    </row>
    <row r="156" spans="1:4" hidden="1" x14ac:dyDescent="0.2">
      <c r="A156" t="s">
        <v>62</v>
      </c>
      <c r="B156" s="13"/>
      <c r="C156" s="14">
        <v>4.25</v>
      </c>
      <c r="D156" s="14">
        <v>0</v>
      </c>
    </row>
    <row r="157" spans="1:4" hidden="1" x14ac:dyDescent="0.2">
      <c r="A157" t="s">
        <v>63</v>
      </c>
      <c r="B157" s="13">
        <v>44136</v>
      </c>
      <c r="C157" s="14">
        <v>3.75</v>
      </c>
      <c r="D157" s="14">
        <v>0</v>
      </c>
    </row>
    <row r="158" spans="1:4" hidden="1" x14ac:dyDescent="0.2">
      <c r="A158" t="s">
        <v>64</v>
      </c>
      <c r="B158" s="13"/>
      <c r="C158" s="14">
        <v>3.75</v>
      </c>
      <c r="D158" s="14">
        <v>0</v>
      </c>
    </row>
    <row r="159" spans="1:4" hidden="1" x14ac:dyDescent="0.2">
      <c r="A159" t="s">
        <v>65</v>
      </c>
      <c r="B159" s="13"/>
      <c r="C159" s="14">
        <v>3.25</v>
      </c>
      <c r="D159" s="14">
        <v>0</v>
      </c>
    </row>
    <row r="160" spans="1:4" hidden="1" x14ac:dyDescent="0.2">
      <c r="A160" t="s">
        <v>66</v>
      </c>
      <c r="B160" s="13"/>
      <c r="C160" s="14">
        <v>3</v>
      </c>
      <c r="D160" s="14">
        <v>0</v>
      </c>
    </row>
    <row r="161" spans="1:4" hidden="1" x14ac:dyDescent="0.2">
      <c r="A161" t="s">
        <v>67</v>
      </c>
      <c r="B161" s="13">
        <v>43800</v>
      </c>
      <c r="C161" s="14">
        <v>3</v>
      </c>
      <c r="D161" s="14">
        <v>0</v>
      </c>
    </row>
    <row r="162" spans="1:4" hidden="1" x14ac:dyDescent="0.2">
      <c r="A162" t="s">
        <v>68</v>
      </c>
      <c r="B162" s="13"/>
      <c r="C162" s="14">
        <v>3</v>
      </c>
      <c r="D162" s="14">
        <v>0</v>
      </c>
    </row>
    <row r="163" spans="1:4" hidden="1" x14ac:dyDescent="0.2">
      <c r="A163" t="s">
        <v>69</v>
      </c>
      <c r="B163" s="13"/>
      <c r="C163" s="14">
        <v>3</v>
      </c>
      <c r="D163" s="14">
        <v>0</v>
      </c>
    </row>
    <row r="164" spans="1:4" hidden="1" x14ac:dyDescent="0.2">
      <c r="A164" t="s">
        <v>70</v>
      </c>
      <c r="B164" s="13"/>
      <c r="C164" s="14">
        <v>3</v>
      </c>
      <c r="D164" s="14">
        <v>0</v>
      </c>
    </row>
    <row r="165" spans="1:4" hidden="1" x14ac:dyDescent="0.2">
      <c r="A165" t="s">
        <v>71</v>
      </c>
      <c r="B165" s="13">
        <v>44196</v>
      </c>
      <c r="C165" s="14">
        <v>3</v>
      </c>
      <c r="D165" s="14">
        <v>0</v>
      </c>
    </row>
    <row r="166" spans="1:4" hidden="1" x14ac:dyDescent="0.2">
      <c r="B166" s="13"/>
      <c r="C166" s="14"/>
      <c r="D166" s="14"/>
    </row>
    <row r="167" spans="1:4" hidden="1" x14ac:dyDescent="0.2">
      <c r="A167" s="13">
        <v>43799</v>
      </c>
      <c r="B167" s="15">
        <f>A167</f>
        <v>43799</v>
      </c>
      <c r="C167" s="14">
        <v>3.5</v>
      </c>
    </row>
    <row r="168" spans="1:4" hidden="1" x14ac:dyDescent="0.2">
      <c r="A168" s="13">
        <v>43830</v>
      </c>
      <c r="B168" s="15">
        <f>A168</f>
        <v>43830</v>
      </c>
      <c r="C168" s="14">
        <v>3</v>
      </c>
      <c r="D168" s="14">
        <v>0</v>
      </c>
    </row>
    <row r="169" spans="1:4" hidden="1" x14ac:dyDescent="0.2">
      <c r="A169" s="13">
        <v>43831</v>
      </c>
      <c r="B169" s="15">
        <f>A169</f>
        <v>43831</v>
      </c>
      <c r="C169" s="14">
        <v>3</v>
      </c>
      <c r="D169" s="14">
        <v>0</v>
      </c>
    </row>
    <row r="170" spans="1:4" hidden="1" x14ac:dyDescent="0.2">
      <c r="A170" s="13">
        <v>43862</v>
      </c>
      <c r="B170" s="15">
        <f t="shared" ref="B170:B205" si="51">A170</f>
        <v>43862</v>
      </c>
      <c r="C170" s="14">
        <v>3</v>
      </c>
      <c r="D170" s="14">
        <v>0</v>
      </c>
    </row>
    <row r="171" spans="1:4" hidden="1" x14ac:dyDescent="0.2">
      <c r="A171" s="13">
        <v>43891</v>
      </c>
      <c r="B171" s="15">
        <f t="shared" si="51"/>
        <v>43891</v>
      </c>
      <c r="C171" s="14">
        <v>3.5</v>
      </c>
      <c r="D171" s="14">
        <v>0</v>
      </c>
    </row>
    <row r="172" spans="1:4" hidden="1" x14ac:dyDescent="0.2">
      <c r="A172" s="13">
        <v>43922</v>
      </c>
      <c r="B172" s="15">
        <f t="shared" si="51"/>
        <v>43922</v>
      </c>
      <c r="C172" s="14">
        <v>4</v>
      </c>
      <c r="D172" s="14">
        <v>2</v>
      </c>
    </row>
    <row r="173" spans="1:4" hidden="1" x14ac:dyDescent="0.2">
      <c r="A173" s="13">
        <v>43952</v>
      </c>
      <c r="B173" s="15">
        <f t="shared" si="51"/>
        <v>43952</v>
      </c>
      <c r="C173" s="14">
        <v>4.25</v>
      </c>
      <c r="D173" s="14">
        <v>3</v>
      </c>
    </row>
    <row r="174" spans="1:4" hidden="1" x14ac:dyDescent="0.2">
      <c r="A174" s="13">
        <v>43983</v>
      </c>
      <c r="B174" s="15">
        <f t="shared" si="51"/>
        <v>43983</v>
      </c>
      <c r="C174" s="14">
        <v>5</v>
      </c>
      <c r="D174" s="14">
        <v>3</v>
      </c>
    </row>
    <row r="175" spans="1:4" hidden="1" x14ac:dyDescent="0.2">
      <c r="A175" s="13">
        <v>44013</v>
      </c>
      <c r="B175" s="15">
        <f t="shared" si="51"/>
        <v>44013</v>
      </c>
      <c r="C175" s="14">
        <v>6.25</v>
      </c>
      <c r="D175" s="14">
        <v>3</v>
      </c>
    </row>
    <row r="176" spans="1:4" hidden="1" x14ac:dyDescent="0.2">
      <c r="A176" s="13">
        <v>44044</v>
      </c>
      <c r="B176" s="15">
        <f t="shared" si="51"/>
        <v>44044</v>
      </c>
      <c r="C176" s="14">
        <v>5.5</v>
      </c>
      <c r="D176" s="14">
        <v>2</v>
      </c>
    </row>
    <row r="177" spans="1:4" hidden="1" x14ac:dyDescent="0.2">
      <c r="A177" s="13">
        <v>44075</v>
      </c>
      <c r="B177" s="15">
        <f t="shared" si="51"/>
        <v>44075</v>
      </c>
      <c r="C177" s="14">
        <v>6</v>
      </c>
      <c r="D177" s="14">
        <v>0</v>
      </c>
    </row>
    <row r="178" spans="1:4" hidden="1" x14ac:dyDescent="0.2">
      <c r="A178" s="13">
        <v>44105</v>
      </c>
      <c r="B178" s="15">
        <f t="shared" si="51"/>
        <v>44105</v>
      </c>
      <c r="C178" s="14">
        <v>5</v>
      </c>
      <c r="D178" s="14">
        <v>0</v>
      </c>
    </row>
    <row r="179" spans="1:4" hidden="1" x14ac:dyDescent="0.2">
      <c r="A179" s="13">
        <v>44136</v>
      </c>
      <c r="B179" s="15">
        <f t="shared" si="51"/>
        <v>44136</v>
      </c>
      <c r="C179" s="14">
        <v>3.5</v>
      </c>
      <c r="D179" s="14">
        <v>0</v>
      </c>
    </row>
    <row r="180" spans="1:4" hidden="1" x14ac:dyDescent="0.2">
      <c r="A180" s="13">
        <v>44166</v>
      </c>
      <c r="B180" s="15">
        <f t="shared" si="51"/>
        <v>44166</v>
      </c>
      <c r="C180" s="14">
        <v>3</v>
      </c>
      <c r="D180" s="14">
        <v>0</v>
      </c>
    </row>
    <row r="181" spans="1:4" hidden="1" x14ac:dyDescent="0.2">
      <c r="A181" s="13">
        <v>44197</v>
      </c>
      <c r="B181" s="15">
        <f t="shared" si="51"/>
        <v>44197</v>
      </c>
      <c r="C181" s="14">
        <f t="shared" ref="C181:D196" si="52">C169</f>
        <v>3</v>
      </c>
      <c r="D181" s="14">
        <f>D169</f>
        <v>0</v>
      </c>
    </row>
    <row r="182" spans="1:4" hidden="1" x14ac:dyDescent="0.2">
      <c r="A182" s="13">
        <v>44228</v>
      </c>
      <c r="B182" s="15">
        <f t="shared" si="51"/>
        <v>44228</v>
      </c>
      <c r="C182" s="14">
        <f t="shared" si="52"/>
        <v>3</v>
      </c>
      <c r="D182" s="14">
        <f t="shared" si="52"/>
        <v>0</v>
      </c>
    </row>
    <row r="183" spans="1:4" hidden="1" x14ac:dyDescent="0.2">
      <c r="A183" s="13">
        <v>44256</v>
      </c>
      <c r="B183" s="15">
        <f t="shared" si="51"/>
        <v>44256</v>
      </c>
      <c r="C183" s="14">
        <f t="shared" si="52"/>
        <v>3.5</v>
      </c>
      <c r="D183" s="14">
        <f t="shared" si="52"/>
        <v>0</v>
      </c>
    </row>
    <row r="184" spans="1:4" hidden="1" x14ac:dyDescent="0.2">
      <c r="A184" s="13">
        <v>44287</v>
      </c>
      <c r="B184" s="15">
        <f t="shared" si="51"/>
        <v>44287</v>
      </c>
      <c r="C184" s="14">
        <f t="shared" si="52"/>
        <v>4</v>
      </c>
      <c r="D184" s="14">
        <f t="shared" si="52"/>
        <v>2</v>
      </c>
    </row>
    <row r="185" spans="1:4" hidden="1" x14ac:dyDescent="0.2">
      <c r="A185" s="13">
        <v>44317</v>
      </c>
      <c r="B185" s="15">
        <f t="shared" si="51"/>
        <v>44317</v>
      </c>
      <c r="C185" s="14">
        <f t="shared" si="52"/>
        <v>4.25</v>
      </c>
      <c r="D185" s="14">
        <f t="shared" si="52"/>
        <v>3</v>
      </c>
    </row>
    <row r="186" spans="1:4" hidden="1" x14ac:dyDescent="0.2">
      <c r="A186" s="13">
        <v>44348</v>
      </c>
      <c r="B186" s="15">
        <f t="shared" si="51"/>
        <v>44348</v>
      </c>
      <c r="C186" s="14">
        <f t="shared" si="52"/>
        <v>5</v>
      </c>
      <c r="D186" s="14">
        <f t="shared" si="52"/>
        <v>3</v>
      </c>
    </row>
    <row r="187" spans="1:4" hidden="1" x14ac:dyDescent="0.2">
      <c r="A187" s="13">
        <v>44378</v>
      </c>
      <c r="B187" s="15">
        <f t="shared" si="51"/>
        <v>44378</v>
      </c>
      <c r="C187" s="14">
        <f t="shared" si="52"/>
        <v>6.25</v>
      </c>
      <c r="D187" s="14">
        <f t="shared" si="52"/>
        <v>3</v>
      </c>
    </row>
    <row r="188" spans="1:4" hidden="1" x14ac:dyDescent="0.2">
      <c r="A188" s="13">
        <v>44409</v>
      </c>
      <c r="B188" s="15">
        <f t="shared" si="51"/>
        <v>44409</v>
      </c>
      <c r="C188" s="14">
        <f t="shared" si="52"/>
        <v>5.5</v>
      </c>
      <c r="D188" s="14">
        <f t="shared" si="52"/>
        <v>2</v>
      </c>
    </row>
    <row r="189" spans="1:4" hidden="1" x14ac:dyDescent="0.2">
      <c r="A189" s="13">
        <v>44440</v>
      </c>
      <c r="B189" s="15">
        <f t="shared" si="51"/>
        <v>44440</v>
      </c>
      <c r="C189" s="14">
        <f t="shared" si="52"/>
        <v>6</v>
      </c>
      <c r="D189" s="14">
        <f t="shared" si="52"/>
        <v>0</v>
      </c>
    </row>
    <row r="190" spans="1:4" hidden="1" x14ac:dyDescent="0.2">
      <c r="A190" s="13">
        <v>44470</v>
      </c>
      <c r="B190" s="15">
        <f t="shared" si="51"/>
        <v>44470</v>
      </c>
      <c r="C190" s="14">
        <f t="shared" si="52"/>
        <v>5</v>
      </c>
      <c r="D190" s="14">
        <f t="shared" si="52"/>
        <v>0</v>
      </c>
    </row>
    <row r="191" spans="1:4" hidden="1" x14ac:dyDescent="0.2">
      <c r="A191" s="13">
        <v>44501</v>
      </c>
      <c r="B191" s="15">
        <f t="shared" si="51"/>
        <v>44501</v>
      </c>
      <c r="C191" s="14">
        <f t="shared" si="52"/>
        <v>3.5</v>
      </c>
      <c r="D191" s="14">
        <f t="shared" si="52"/>
        <v>0</v>
      </c>
    </row>
    <row r="192" spans="1:4" hidden="1" x14ac:dyDescent="0.2">
      <c r="A192" s="13">
        <v>44531</v>
      </c>
      <c r="B192" s="15">
        <f t="shared" si="51"/>
        <v>44531</v>
      </c>
      <c r="C192" s="14">
        <f t="shared" si="52"/>
        <v>3</v>
      </c>
      <c r="D192" s="14">
        <f t="shared" si="52"/>
        <v>0</v>
      </c>
    </row>
    <row r="193" spans="1:8" hidden="1" x14ac:dyDescent="0.2">
      <c r="A193" s="13">
        <v>44562</v>
      </c>
      <c r="B193" s="15">
        <f t="shared" si="51"/>
        <v>44562</v>
      </c>
      <c r="C193" s="14">
        <f t="shared" si="52"/>
        <v>3</v>
      </c>
      <c r="D193" s="14">
        <f t="shared" si="52"/>
        <v>0</v>
      </c>
    </row>
    <row r="194" spans="1:8" hidden="1" x14ac:dyDescent="0.2">
      <c r="A194" s="13">
        <v>44593</v>
      </c>
      <c r="B194" s="15">
        <f t="shared" si="51"/>
        <v>44593</v>
      </c>
      <c r="C194" s="14">
        <f t="shared" si="52"/>
        <v>3</v>
      </c>
      <c r="D194" s="14">
        <f t="shared" si="52"/>
        <v>0</v>
      </c>
    </row>
    <row r="195" spans="1:8" hidden="1" x14ac:dyDescent="0.2">
      <c r="A195" s="13">
        <v>44621</v>
      </c>
      <c r="B195" s="15">
        <f t="shared" si="51"/>
        <v>44621</v>
      </c>
      <c r="C195" s="14">
        <f t="shared" si="52"/>
        <v>3.5</v>
      </c>
      <c r="D195" s="14">
        <f t="shared" si="52"/>
        <v>0</v>
      </c>
    </row>
    <row r="196" spans="1:8" hidden="1" x14ac:dyDescent="0.2">
      <c r="A196" s="13">
        <v>44652</v>
      </c>
      <c r="B196" s="15">
        <f t="shared" si="51"/>
        <v>44652</v>
      </c>
      <c r="C196" s="14">
        <f t="shared" si="52"/>
        <v>4</v>
      </c>
      <c r="D196" s="14">
        <f t="shared" si="52"/>
        <v>2</v>
      </c>
    </row>
    <row r="197" spans="1:8" hidden="1" x14ac:dyDescent="0.2">
      <c r="A197" s="13">
        <v>44682</v>
      </c>
      <c r="B197" s="15">
        <f t="shared" si="51"/>
        <v>44682</v>
      </c>
      <c r="C197" s="14">
        <f t="shared" ref="C197:D205" si="53">C185</f>
        <v>4.25</v>
      </c>
      <c r="D197" s="14">
        <f t="shared" si="53"/>
        <v>3</v>
      </c>
    </row>
    <row r="198" spans="1:8" hidden="1" x14ac:dyDescent="0.2">
      <c r="A198" s="13">
        <v>44713</v>
      </c>
      <c r="B198" s="15">
        <f t="shared" si="51"/>
        <v>44713</v>
      </c>
      <c r="C198" s="14">
        <f t="shared" si="53"/>
        <v>5</v>
      </c>
      <c r="D198" s="14">
        <f t="shared" si="53"/>
        <v>3</v>
      </c>
    </row>
    <row r="199" spans="1:8" hidden="1" x14ac:dyDescent="0.2">
      <c r="A199" s="13">
        <v>44743</v>
      </c>
      <c r="B199" s="15">
        <f t="shared" si="51"/>
        <v>44743</v>
      </c>
      <c r="C199" s="14">
        <f t="shared" si="53"/>
        <v>6.25</v>
      </c>
      <c r="D199" s="14">
        <f t="shared" si="53"/>
        <v>3</v>
      </c>
    </row>
    <row r="200" spans="1:8" hidden="1" x14ac:dyDescent="0.2">
      <c r="A200" s="13">
        <v>44774</v>
      </c>
      <c r="B200" s="15">
        <f t="shared" si="51"/>
        <v>44774</v>
      </c>
      <c r="C200" s="14">
        <f t="shared" si="53"/>
        <v>5.5</v>
      </c>
      <c r="D200" s="14">
        <f t="shared" si="53"/>
        <v>2</v>
      </c>
    </row>
    <row r="201" spans="1:8" hidden="1" x14ac:dyDescent="0.2">
      <c r="A201" s="13">
        <v>44805</v>
      </c>
      <c r="B201" s="15">
        <f t="shared" si="51"/>
        <v>44805</v>
      </c>
      <c r="C201" s="14">
        <f t="shared" si="53"/>
        <v>6</v>
      </c>
      <c r="D201" s="14">
        <f t="shared" si="53"/>
        <v>0</v>
      </c>
    </row>
    <row r="202" spans="1:8" hidden="1" x14ac:dyDescent="0.2">
      <c r="A202" s="13">
        <v>44835</v>
      </c>
      <c r="B202" s="15">
        <f t="shared" si="51"/>
        <v>44835</v>
      </c>
      <c r="C202" s="14">
        <f t="shared" si="53"/>
        <v>5</v>
      </c>
      <c r="D202" s="14">
        <f t="shared" si="53"/>
        <v>0</v>
      </c>
    </row>
    <row r="203" spans="1:8" hidden="1" x14ac:dyDescent="0.2">
      <c r="A203" s="13">
        <v>44866</v>
      </c>
      <c r="B203" s="15">
        <f t="shared" si="51"/>
        <v>44866</v>
      </c>
      <c r="C203" s="14">
        <f t="shared" si="53"/>
        <v>3.5</v>
      </c>
      <c r="D203" s="14">
        <f t="shared" si="53"/>
        <v>0</v>
      </c>
    </row>
    <row r="204" spans="1:8" hidden="1" x14ac:dyDescent="0.2">
      <c r="A204" s="13">
        <v>44896</v>
      </c>
      <c r="B204" s="15">
        <f t="shared" si="51"/>
        <v>44896</v>
      </c>
      <c r="C204" s="14">
        <f t="shared" si="53"/>
        <v>3</v>
      </c>
      <c r="D204" s="14">
        <f t="shared" si="53"/>
        <v>0</v>
      </c>
    </row>
    <row r="205" spans="1:8" hidden="1" x14ac:dyDescent="0.2">
      <c r="A205" s="13">
        <v>44927</v>
      </c>
      <c r="B205" s="15">
        <f t="shared" si="51"/>
        <v>44927</v>
      </c>
      <c r="C205" s="14">
        <f t="shared" si="53"/>
        <v>3</v>
      </c>
      <c r="D205" s="14">
        <f t="shared" si="53"/>
        <v>0</v>
      </c>
    </row>
    <row r="206" spans="1:8" hidden="1" x14ac:dyDescent="0.2"/>
    <row r="207" spans="1:8" hidden="1" x14ac:dyDescent="0.2"/>
    <row r="208" spans="1:8" ht="12.75" x14ac:dyDescent="0.2">
      <c r="A208" s="133" t="s">
        <v>112</v>
      </c>
      <c r="B208" s="133"/>
      <c r="C208" s="133"/>
      <c r="D208" s="133"/>
      <c r="E208" s="133"/>
      <c r="F208" s="133"/>
      <c r="G208" s="133"/>
      <c r="H208" s="133"/>
    </row>
  </sheetData>
  <sheetProtection algorithmName="SHA-512" hashValue="AnkwoFG2T0TqM+DBZvQmFSvSNWBFgfwfwVlSGNG3HiY0JLZA8e1gYfUOg+O/d/Mof7zvzH7hOwe1Z9Dv7e9oPg==" saltValue="ClykjnuTAE8ZBt8gw6oYtg==" spinCount="100000" sheet="1" objects="1" scenarios="1"/>
  <protectedRanges>
    <protectedRange sqref="B60" name="Kalvens fødselsdato"/>
    <protectedRange sqref="B72" name="Resttillæg"/>
    <protectedRange sqref="B78" name="Foderpris 1"/>
    <protectedRange sqref="B79" name="Rentesats"/>
    <protectedRange sqref="B102" name="Foderpris 2"/>
  </protectedRanges>
  <mergeCells count="12">
    <mergeCell ref="A87:B87"/>
    <mergeCell ref="A63:B63"/>
    <mergeCell ref="O57:X57"/>
    <mergeCell ref="B22:V22"/>
    <mergeCell ref="A53:M53"/>
    <mergeCell ref="A54:M54"/>
    <mergeCell ref="A55:M55"/>
    <mergeCell ref="A56:M56"/>
    <mergeCell ref="A52:M52"/>
    <mergeCell ref="A57:M57"/>
    <mergeCell ref="A58:M58"/>
    <mergeCell ref="A59:M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Munk</dc:creator>
  <cp:lastModifiedBy>Camilla Kramer (CAKRA)</cp:lastModifiedBy>
  <dcterms:created xsi:type="dcterms:W3CDTF">2019-12-17T16:35:25Z</dcterms:created>
  <dcterms:modified xsi:type="dcterms:W3CDTF">2020-02-18T12:56:26Z</dcterms:modified>
</cp:coreProperties>
</file>